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spipe.sharepoint.com/teams/Non-CommercialECOPODandEnviroAire/Shared Documents/Resources/State Design Tool Calculators/Hawaii/AeroFin/"/>
    </mc:Choice>
  </mc:AlternateContent>
  <xr:revisionPtr revIDLastSave="14" documentId="8_{303D2A89-E41B-48B9-970E-A6CEC05F4AEE}" xr6:coauthVersionLast="47" xr6:coauthVersionMax="47" xr10:uidLastSave="{69C49FD0-C087-4005-82B2-BC3B986EE32D}"/>
  <workbookProtection workbookAlgorithmName="SHA-512" workbookHashValue="VALNN1CAvmONxFp1ZNGZ3LKQgFOZjJzy6XOYLxR89byOBQFh5V7KPd4qwJ/Nr5aDE+3wPLTjVc/ft9b7Dm4n/Q==" workbookSaltValue="vw2VeXAP1+TucyWVAuTwqA==" workbookSpinCount="100000" lockStructure="1"/>
  <bookViews>
    <workbookView minimized="1" xWindow="41760" yWindow="2625" windowWidth="16035" windowHeight="11265" firstSheet="1" activeTab="1" xr2:uid="{A4CF145E-D8B7-48E0-9BBE-75D39308C9B6}"/>
  </bookViews>
  <sheets>
    <sheet name="Trench" sheetId="1" state="hidden" r:id="rId1"/>
    <sheet name="Bed" sheetId="3" r:id="rId2"/>
    <sheet name="Sloped" sheetId="8" r:id="rId3"/>
    <sheet name="WI In-Ground" sheetId="4" state="hidden" r:id="rId4"/>
    <sheet name="WI Mound" sheetId="5" state="hidden" r:id="rId5"/>
    <sheet name="Ref" sheetId="2" state="hidden" r:id="rId6"/>
    <sheet name="Drawings" sheetId="6" state="hidden" r:id="rId7"/>
    <sheet name="Pic Ref" sheetId="7" state="hidden" r:id="rId8"/>
  </sheets>
  <definedNames>
    <definedName name="IDSoil">Ref!$L$4:$L$10</definedName>
    <definedName name="MESoil">Ref!$L$13:$L$21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3" l="1"/>
  <c r="C29" i="8"/>
  <c r="G13" i="7"/>
  <c r="C26" i="8"/>
  <c r="C37" i="8"/>
  <c r="E13" i="7"/>
  <c r="E14" i="7" s="1"/>
  <c r="C20" i="7"/>
  <c r="C19" i="7"/>
  <c r="C30" i="8"/>
  <c r="F13" i="7" s="1"/>
  <c r="F14" i="7" s="1"/>
  <c r="C17" i="8"/>
  <c r="C18" i="8" s="1"/>
  <c r="C12" i="8"/>
  <c r="C24" i="8" s="1"/>
  <c r="H13" i="7" s="1"/>
  <c r="H14" i="7" s="1"/>
  <c r="C11" i="8"/>
  <c r="C12" i="3"/>
  <c r="C23" i="3" s="1"/>
  <c r="C24" i="3" s="1"/>
  <c r="P9" i="7" s="1"/>
  <c r="F3" i="7"/>
  <c r="C29" i="3"/>
  <c r="F8" i="7" s="1"/>
  <c r="J27" i="2"/>
  <c r="J28" i="2" s="1"/>
  <c r="J29" i="2" s="1"/>
  <c r="J30" i="2" s="1"/>
  <c r="J31" i="2" s="1"/>
  <c r="J32" i="2" s="1"/>
  <c r="J33" i="2" s="1"/>
  <c r="J34" i="2" s="1"/>
  <c r="J35" i="2" s="1"/>
  <c r="J36" i="2" s="1"/>
  <c r="J37" i="2" s="1"/>
  <c r="J38" i="2" s="1"/>
  <c r="J39" i="2" s="1"/>
  <c r="J40" i="2" s="1"/>
  <c r="J41" i="2" s="1"/>
  <c r="J42" i="2" s="1"/>
  <c r="J43" i="2" s="1"/>
  <c r="J44" i="2" s="1"/>
  <c r="J45" i="2" s="1"/>
  <c r="J46" i="2" s="1"/>
  <c r="C17" i="3"/>
  <c r="C18" i="1"/>
  <c r="C11" i="1"/>
  <c r="G3" i="7"/>
  <c r="E3" i="7"/>
  <c r="C29" i="1"/>
  <c r="C11" i="3"/>
  <c r="C12" i="1"/>
  <c r="C23" i="1" s="1"/>
  <c r="C34" i="1" s="1"/>
  <c r="C26" i="2"/>
  <c r="C27" i="2"/>
  <c r="C28" i="2"/>
  <c r="C29" i="2"/>
  <c r="C30" i="2"/>
  <c r="C31" i="2"/>
  <c r="C25" i="2"/>
  <c r="E8" i="7"/>
  <c r="C14" i="7"/>
  <c r="C15" i="7"/>
  <c r="C10" i="7"/>
  <c r="B3" i="7"/>
  <c r="C5" i="7" s="1"/>
  <c r="C44" i="4"/>
  <c r="C46" i="4"/>
  <c r="C45" i="4"/>
  <c r="C29" i="4"/>
  <c r="C30" i="4" s="1"/>
  <c r="C24" i="4"/>
  <c r="C28" i="4" s="1"/>
  <c r="C13" i="4"/>
  <c r="C25" i="4" s="1"/>
  <c r="C28" i="8" l="1"/>
  <c r="I13" i="7" s="1"/>
  <c r="C18" i="3"/>
  <c r="C36" i="8"/>
  <c r="C35" i="8"/>
  <c r="J13" i="7"/>
  <c r="J14" i="7" s="1"/>
  <c r="C25" i="8"/>
  <c r="F9" i="7"/>
  <c r="F4" i="7"/>
  <c r="H3" i="7"/>
  <c r="H4" i="7" s="1"/>
  <c r="C35" i="1"/>
  <c r="E4" i="7"/>
  <c r="E9" i="7"/>
  <c r="C9" i="7"/>
  <c r="C4" i="7"/>
  <c r="C31" i="4"/>
  <c r="C35" i="4" s="1"/>
  <c r="C36" i="4" s="1"/>
  <c r="C37" i="4" s="1"/>
  <c r="C38" i="4" s="1"/>
  <c r="C39" i="4" s="1"/>
  <c r="C40" i="4" s="1"/>
  <c r="AE11" i="2"/>
  <c r="AE12" i="2"/>
  <c r="AE13" i="2"/>
  <c r="AE14" i="2"/>
  <c r="AE15" i="2"/>
  <c r="AE16" i="2" s="1"/>
  <c r="AE10" i="2"/>
  <c r="B17" i="1"/>
  <c r="C24" i="1"/>
  <c r="C27" i="1"/>
  <c r="C27" i="8" l="1"/>
  <c r="R14" i="2"/>
  <c r="S14" i="2" s="1"/>
  <c r="T14" i="2" s="1"/>
  <c r="U14" i="2" s="1"/>
  <c r="V14" i="2" s="1"/>
  <c r="W14" i="2" s="1"/>
  <c r="X14" i="2" s="1"/>
  <c r="R15" i="2"/>
  <c r="S15" i="2" s="1"/>
  <c r="T15" i="2" s="1"/>
  <c r="U15" i="2" s="1"/>
  <c r="V15" i="2" s="1"/>
  <c r="W15" i="2" s="1"/>
  <c r="X15" i="2" s="1"/>
  <c r="R16" i="2"/>
  <c r="S16" i="2" s="1"/>
  <c r="T16" i="2" s="1"/>
  <c r="U16" i="2" s="1"/>
  <c r="V16" i="2" s="1"/>
  <c r="W16" i="2" s="1"/>
  <c r="X16" i="2" s="1"/>
  <c r="R17" i="2"/>
  <c r="S17" i="2" s="1"/>
  <c r="T17" i="2" s="1"/>
  <c r="U17" i="2" s="1"/>
  <c r="V17" i="2" s="1"/>
  <c r="W17" i="2" s="1"/>
  <c r="X17" i="2" s="1"/>
  <c r="R18" i="2"/>
  <c r="S18" i="2" s="1"/>
  <c r="T18" i="2" s="1"/>
  <c r="U18" i="2" s="1"/>
  <c r="V18" i="2" s="1"/>
  <c r="W18" i="2" s="1"/>
  <c r="X18" i="2" s="1"/>
  <c r="R19" i="2"/>
  <c r="S19" i="2" s="1"/>
  <c r="T19" i="2" s="1"/>
  <c r="U19" i="2" s="1"/>
  <c r="V19" i="2" s="1"/>
  <c r="W19" i="2" s="1"/>
  <c r="X19" i="2" s="1"/>
  <c r="R20" i="2"/>
  <c r="S20" i="2" s="1"/>
  <c r="T20" i="2" s="1"/>
  <c r="U20" i="2" s="1"/>
  <c r="V20" i="2" s="1"/>
  <c r="W20" i="2" s="1"/>
  <c r="X20" i="2" s="1"/>
  <c r="R21" i="2"/>
  <c r="S21" i="2" s="1"/>
  <c r="T21" i="2" s="1"/>
  <c r="U21" i="2" s="1"/>
  <c r="V21" i="2" s="1"/>
  <c r="W21" i="2" s="1"/>
  <c r="X21" i="2" s="1"/>
  <c r="R13" i="2"/>
  <c r="S13" i="2" s="1"/>
  <c r="T13" i="2" s="1"/>
  <c r="U13" i="2" s="1"/>
  <c r="V13" i="2" s="1"/>
  <c r="W13" i="2" s="1"/>
  <c r="X13" i="2" s="1"/>
  <c r="C36" i="1"/>
  <c r="I14" i="7" l="1"/>
  <c r="C30" i="1"/>
  <c r="C25" i="1"/>
  <c r="C31" i="8" l="1"/>
  <c r="G14" i="7"/>
  <c r="G4" i="7"/>
  <c r="H16" i="2"/>
  <c r="H17" i="2" s="1"/>
  <c r="H18" i="2" s="1"/>
  <c r="H19" i="2" s="1"/>
  <c r="H20" i="2" s="1"/>
  <c r="H21" i="2" s="1"/>
  <c r="H22" i="2" s="1"/>
  <c r="H23" i="2" s="1"/>
  <c r="G16" i="2"/>
  <c r="G17" i="2" s="1"/>
  <c r="G18" i="2" s="1"/>
  <c r="G19" i="2" s="1"/>
  <c r="G20" i="2" s="1"/>
  <c r="G21" i="2" s="1"/>
  <c r="G22" i="2" s="1"/>
  <c r="G23" i="2" s="1"/>
  <c r="C9" i="2"/>
  <c r="C10" i="2" s="1"/>
  <c r="C11" i="2" s="1"/>
  <c r="C12" i="2" s="1"/>
  <c r="C13" i="2" s="1"/>
  <c r="C14" i="2" s="1"/>
  <c r="C15" i="2" s="1"/>
  <c r="R5" i="2"/>
  <c r="S5" i="2" s="1"/>
  <c r="T5" i="2" s="1"/>
  <c r="U5" i="2" s="1"/>
  <c r="V5" i="2" s="1"/>
  <c r="W5" i="2" s="1"/>
  <c r="X5" i="2" s="1"/>
  <c r="R6" i="2"/>
  <c r="S6" i="2" s="1"/>
  <c r="T6" i="2" s="1"/>
  <c r="U6" i="2" s="1"/>
  <c r="V6" i="2" s="1"/>
  <c r="W6" i="2" s="1"/>
  <c r="X6" i="2" s="1"/>
  <c r="R7" i="2"/>
  <c r="S7" i="2" s="1"/>
  <c r="T7" i="2" s="1"/>
  <c r="U7" i="2" s="1"/>
  <c r="V7" i="2" s="1"/>
  <c r="W7" i="2" s="1"/>
  <c r="X7" i="2" s="1"/>
  <c r="R8" i="2"/>
  <c r="S8" i="2" s="1"/>
  <c r="T8" i="2" s="1"/>
  <c r="U8" i="2" s="1"/>
  <c r="V8" i="2" s="1"/>
  <c r="W8" i="2" s="1"/>
  <c r="X8" i="2" s="1"/>
  <c r="R9" i="2"/>
  <c r="S9" i="2" s="1"/>
  <c r="T9" i="2" s="1"/>
  <c r="U9" i="2" s="1"/>
  <c r="V9" i="2" s="1"/>
  <c r="W9" i="2" s="1"/>
  <c r="X9" i="2" s="1"/>
  <c r="R10" i="2"/>
  <c r="S10" i="2" s="1"/>
  <c r="T10" i="2" s="1"/>
  <c r="U10" i="2" s="1"/>
  <c r="V10" i="2" s="1"/>
  <c r="W10" i="2" s="1"/>
  <c r="X10" i="2" s="1"/>
  <c r="R4" i="2"/>
  <c r="S4" i="2" s="1"/>
  <c r="T4" i="2" s="1"/>
  <c r="U4" i="2" s="1"/>
  <c r="V4" i="2" s="1"/>
  <c r="W4" i="2" s="1"/>
  <c r="X4" i="2" s="1"/>
  <c r="C25" i="3"/>
  <c r="C35" i="3"/>
  <c r="C36" i="3" s="1"/>
  <c r="C34" i="3"/>
  <c r="H8" i="7"/>
  <c r="H9" i="7" s="1"/>
  <c r="C27" i="3" l="1"/>
  <c r="C30" i="3"/>
  <c r="J8" i="7"/>
  <c r="J9" i="7" s="1"/>
  <c r="C26" i="3"/>
  <c r="P1" i="7" l="1"/>
  <c r="P3" i="7" l="1"/>
  <c r="P5" i="7" s="1"/>
  <c r="P6" i="7" s="1"/>
  <c r="I8" i="7"/>
  <c r="I9" i="7" s="1"/>
  <c r="P4" i="7" l="1"/>
  <c r="G8" i="7"/>
  <c r="G9" i="7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</futureMetadata>
  <valueMetadata count="3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</valueMetadata>
</metadata>
</file>

<file path=xl/sharedStrings.xml><?xml version="1.0" encoding="utf-8"?>
<sst xmlns="http://schemas.openxmlformats.org/spreadsheetml/2006/main" count="405" uniqueCount="158">
  <si>
    <t>Bedrooms</t>
  </si>
  <si>
    <t>Min. Conduit (ft.)</t>
  </si>
  <si>
    <t>Each Add.</t>
  </si>
  <si>
    <t>Minimum Area of Bottom Surface Required (sf)</t>
  </si>
  <si>
    <t>1.7/A-1</t>
  </si>
  <si>
    <t>1.2/A-2a</t>
  </si>
  <si>
    <t>1.0/A-2b</t>
  </si>
  <si>
    <t>0.8/B-1</t>
  </si>
  <si>
    <t>0.6/B-2</t>
  </si>
  <si>
    <t>0.4/C-1</t>
  </si>
  <si>
    <t>0.3/C-2</t>
  </si>
  <si>
    <t>ft</t>
  </si>
  <si>
    <t>Fin Rows</t>
  </si>
  <si>
    <t>Min Width (ft)</t>
  </si>
  <si>
    <t>Min Width (in)</t>
  </si>
  <si>
    <t>Beds Only</t>
  </si>
  <si>
    <t>Each Add</t>
  </si>
  <si>
    <t>Number of Bedrooms</t>
  </si>
  <si>
    <t>Daily Design Flow</t>
  </si>
  <si>
    <t>Application Rate/Soil Design Subgroup</t>
  </si>
  <si>
    <t>Conduit Row Length</t>
  </si>
  <si>
    <t>Conduit Rows</t>
  </si>
  <si>
    <t>Total Conduit</t>
  </si>
  <si>
    <t>Minimum Sand Footprint Width</t>
  </si>
  <si>
    <t>Suitable Bed Width for Min. Requirements</t>
  </si>
  <si>
    <t>Sand Extensions on each side</t>
  </si>
  <si>
    <t>Project:</t>
  </si>
  <si>
    <t>Date:</t>
  </si>
  <si>
    <t>Sales Representative:</t>
  </si>
  <si>
    <t>Location:</t>
  </si>
  <si>
    <t>Determine Daily Design Flow (DDF)</t>
  </si>
  <si>
    <t>Metric</t>
  </si>
  <si>
    <t>Qty</t>
  </si>
  <si>
    <t>Unit</t>
  </si>
  <si>
    <t>GPD</t>
  </si>
  <si>
    <t>Minimum Conduit Length Required</t>
  </si>
  <si>
    <t>Determine Minimum Bottom Surface Area</t>
  </si>
  <si>
    <t>Minimum Bottom Surface Area</t>
  </si>
  <si>
    <t>System Sand Footprint Area Configuration</t>
  </si>
  <si>
    <t>sf</t>
  </si>
  <si>
    <t>Meets Minimum Conduit Requirement?</t>
  </si>
  <si>
    <t>Meets Minimum Bottom SA Requirement?</t>
  </si>
  <si>
    <t>New Footprint Width</t>
  </si>
  <si>
    <t>New System Footprint Surface Area</t>
  </si>
  <si>
    <t>Items</t>
  </si>
  <si>
    <t>Manifolds</t>
  </si>
  <si>
    <t>Conduits</t>
  </si>
  <si>
    <t>EndCaps</t>
  </si>
  <si>
    <t>Units</t>
  </si>
  <si>
    <t>Summary</t>
  </si>
  <si>
    <t>Notes</t>
  </si>
  <si>
    <t>AeroFin Trench System Design Tool</t>
  </si>
  <si>
    <t>AeroFin Bed System Design Tool</t>
  </si>
  <si>
    <t>Idaho</t>
  </si>
  <si>
    <t>Maine</t>
  </si>
  <si>
    <t>Soil Profile</t>
  </si>
  <si>
    <t>Soil Loading Rate</t>
  </si>
  <si>
    <t>Number of Bedrooms Minimum Bed Area Sq Ft</t>
  </si>
  <si>
    <t>Wisconsin</t>
  </si>
  <si>
    <t>Site Conditions</t>
  </si>
  <si>
    <t>Slope</t>
  </si>
  <si>
    <t>Depth to Limiting Factor</t>
  </si>
  <si>
    <t>Minimum Depth of Unsaturated Soil Required</t>
  </si>
  <si>
    <t>Table 383.44-3, WI Adm. Code</t>
  </si>
  <si>
    <t>In-situ Soild Application Rate</t>
  </si>
  <si>
    <t>FOG value of effluent applied to component</t>
  </si>
  <si>
    <t>mg/L</t>
  </si>
  <si>
    <t>in</t>
  </si>
  <si>
    <t>&lt; 30</t>
  </si>
  <si>
    <t>Flow:</t>
  </si>
  <si>
    <t>BOD5 value of effluent applied to component</t>
  </si>
  <si>
    <t>TSS value of effluent applied to component</t>
  </si>
  <si>
    <t>&lt;= 30</t>
  </si>
  <si>
    <t>Fecal Coliform monthly geometric mean value of effluent applied to component &gt; 10^4 CFU/100ml</t>
  </si>
  <si>
    <t>Combined Wastewater</t>
  </si>
  <si>
    <t>Clearwater &amp; Graywater</t>
  </si>
  <si>
    <t>Blackwater Only</t>
  </si>
  <si>
    <t>Yes</t>
  </si>
  <si>
    <t>No</t>
  </si>
  <si>
    <t>Design of the AeroFin System Distribution Cell</t>
  </si>
  <si>
    <t>Minimum Basal Area Required</t>
  </si>
  <si>
    <t>Minimum Distribution Cell Width</t>
  </si>
  <si>
    <t>Treatment Cell Area</t>
  </si>
  <si>
    <t>Meets Minimum Basal Area Requirement?</t>
  </si>
  <si>
    <t>Design Adjustments</t>
  </si>
  <si>
    <t>Basal Area divided by Length of System</t>
  </si>
  <si>
    <t>Above minus Design System Sand Footprint</t>
  </si>
  <si>
    <t>needs rounded to 0.75</t>
  </si>
  <si>
    <t>New Width</t>
  </si>
  <si>
    <t>Sand Extension on each side</t>
  </si>
  <si>
    <t>New Treatment Cell Area</t>
  </si>
  <si>
    <t>GPD/sf</t>
  </si>
  <si>
    <t>Hawaii</t>
  </si>
  <si>
    <t>Idaho, Maine, Wisconsin, Hawaii</t>
  </si>
  <si>
    <t>Trench</t>
  </si>
  <si>
    <t>Bed</t>
  </si>
  <si>
    <t>Mound</t>
  </si>
  <si>
    <t>Subsurface</t>
  </si>
  <si>
    <t>Cross Section</t>
  </si>
  <si>
    <t>Plan View</t>
  </si>
  <si>
    <t>Trench Tab</t>
  </si>
  <si>
    <t>Bed Tab</t>
  </si>
  <si>
    <t>CS</t>
  </si>
  <si>
    <t>PV</t>
  </si>
  <si>
    <t>WI In-Ground</t>
  </si>
  <si>
    <t>Bed Length</t>
  </si>
  <si>
    <t>Row Length</t>
  </si>
  <si>
    <t>Footprint Width</t>
  </si>
  <si>
    <t>Rows</t>
  </si>
  <si>
    <t>Extensions</t>
  </si>
  <si>
    <t>Conduit Width</t>
  </si>
  <si>
    <t>Trench Length</t>
  </si>
  <si>
    <t>Maine, Hawaii</t>
  </si>
  <si>
    <t>Percolation Rate</t>
  </si>
  <si>
    <t>sq ft</t>
  </si>
  <si>
    <t>GPD/sq ft</t>
  </si>
  <si>
    <t>min/in</t>
  </si>
  <si>
    <t>Percolation Rate mpi</t>
  </si>
  <si>
    <t>AeroFin Soil Loading Rate (gpd/ sq ft)</t>
  </si>
  <si>
    <t>Up to 10</t>
  </si>
  <si>
    <t>11 to 15</t>
  </si>
  <si>
    <t>16 to 20</t>
  </si>
  <si>
    <t>21 to 30</t>
  </si>
  <si>
    <t>31 to 40</t>
  </si>
  <si>
    <t>41 to 50</t>
  </si>
  <si>
    <t>61 to 65</t>
  </si>
  <si>
    <t>51 to 60</t>
  </si>
  <si>
    <t>66 to 70</t>
  </si>
  <si>
    <t>71 to 75</t>
  </si>
  <si>
    <t>76 to 80</t>
  </si>
  <si>
    <t>81 to 85</t>
  </si>
  <si>
    <t>86 to 90</t>
  </si>
  <si>
    <t>91 to 95</t>
  </si>
  <si>
    <t>96 to 100</t>
  </si>
  <si>
    <t>101 to 105</t>
  </si>
  <si>
    <t>106 to 110</t>
  </si>
  <si>
    <t>111 to 115</t>
  </si>
  <si>
    <t>116 to 120</t>
  </si>
  <si>
    <t>mpi</t>
  </si>
  <si>
    <t>AeroFin Soil Loading Rate</t>
  </si>
  <si>
    <t>Minimum System Sand Footprint Area</t>
  </si>
  <si>
    <t>Total AeroFin Provided</t>
  </si>
  <si>
    <t>Number of Rows</t>
  </si>
  <si>
    <t>Sand Extensions (if needed)</t>
  </si>
  <si>
    <t>Total Bed Width</t>
  </si>
  <si>
    <t>Total Bed Length</t>
  </si>
  <si>
    <t>Total Bed Area Provided</t>
  </si>
  <si>
    <t>Minimum Bed Area Required</t>
  </si>
  <si>
    <t>Address:</t>
  </si>
  <si>
    <t>Designer Information:</t>
  </si>
  <si>
    <t>For additional design assistance, contact our technical department</t>
  </si>
  <si>
    <t>1-800-221-4436 | iwttechnicalservices@infiltratorwater.com</t>
  </si>
  <si>
    <t>HI Slope</t>
  </si>
  <si>
    <t>Cross</t>
  </si>
  <si>
    <t>Plan</t>
  </si>
  <si>
    <t>Slope Tab</t>
  </si>
  <si>
    <t>Sloped Tab</t>
  </si>
  <si>
    <t>V.041526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</si>
</sst>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right" wrapText="1"/>
    </xf>
    <xf numFmtId="0" fontId="0" fillId="3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3" xfId="0" applyBorder="1"/>
    <xf numFmtId="0" fontId="0" fillId="0" borderId="9" xfId="0" applyBorder="1"/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3" borderId="21" xfId="0" applyFill="1" applyBorder="1" applyAlignment="1">
      <alignment horizontal="center"/>
    </xf>
    <xf numFmtId="0" fontId="0" fillId="0" borderId="22" xfId="0" applyBorder="1"/>
    <xf numFmtId="16" fontId="0" fillId="0" borderId="0" xfId="0" applyNumberFormat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5" xfId="0" applyBorder="1"/>
    <xf numFmtId="3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9" fontId="0" fillId="0" borderId="0" xfId="1" applyFont="1" applyAlignment="1">
      <alignment horizontal="center"/>
    </xf>
    <xf numFmtId="0" fontId="0" fillId="3" borderId="15" xfId="0" applyFill="1" applyBorder="1" applyAlignment="1" applyProtection="1">
      <alignment horizontal="center"/>
      <protection locked="0"/>
    </xf>
    <xf numFmtId="3" fontId="0" fillId="3" borderId="15" xfId="0" applyNumberFormat="1" applyFill="1" applyBorder="1" applyAlignment="1" applyProtection="1">
      <alignment horizontal="center"/>
      <protection locked="0"/>
    </xf>
    <xf numFmtId="9" fontId="0" fillId="3" borderId="15" xfId="1" applyFont="1" applyFill="1" applyBorder="1" applyAlignment="1" applyProtection="1">
      <alignment horizontal="center"/>
      <protection locked="0"/>
    </xf>
    <xf numFmtId="3" fontId="0" fillId="3" borderId="5" xfId="0" applyNumberFormat="1" applyFill="1" applyBorder="1" applyAlignment="1" applyProtection="1">
      <alignment horizontal="center"/>
      <protection locked="0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2" borderId="2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31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4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2" fillId="2" borderId="2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</xdr:colOff>
      <xdr:row>7</xdr:row>
      <xdr:rowOff>47625</xdr:rowOff>
    </xdr:from>
    <xdr:to>
      <xdr:col>12</xdr:col>
      <xdr:colOff>410189</xdr:colOff>
      <xdr:row>18</xdr:row>
      <xdr:rowOff>162255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0D2FB4-9F07-4320-B302-199CCF66260D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4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38925" y="1466850"/>
          <a:ext cx="4401164" cy="236253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22</xdr:row>
      <xdr:rowOff>0</xdr:rowOff>
    </xdr:from>
    <xdr:to>
      <xdr:col>13</xdr:col>
      <xdr:colOff>547493</xdr:colOff>
      <xdr:row>33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22EC06-BFCD-4A3B-9DFA-3606BCBB0F3E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5"/>
            </a:ext>
          </a:extLst>
        </xdr:cNvPicPr>
      </xdr:nvPicPr>
      <xdr:blipFill rotWithShape="1">
        <a:blip xmlns:r="http://schemas.openxmlformats.org/officeDocument/2006/relationships" r:embed="rId2"/>
        <a:srcRect r="1789" b="14801"/>
        <a:stretch>
          <a:fillRect/>
        </a:stretch>
      </xdr:blipFill>
      <xdr:spPr>
        <a:xfrm>
          <a:off x="5915025" y="4314825"/>
          <a:ext cx="5871968" cy="2352675"/>
        </a:xfrm>
        <a:prstGeom prst="rect">
          <a:avLst/>
        </a:prstGeom>
      </xdr:spPr>
    </xdr:pic>
    <xdr:clientData/>
  </xdr:twoCellAnchor>
  <xdr:twoCellAnchor>
    <xdr:from>
      <xdr:col>9</xdr:col>
      <xdr:colOff>9525</xdr:colOff>
      <xdr:row>24</xdr:row>
      <xdr:rowOff>133350</xdr:rowOff>
    </xdr:from>
    <xdr:to>
      <xdr:col>10</xdr:col>
      <xdr:colOff>95250</xdr:colOff>
      <xdr:row>26</xdr:row>
      <xdr:rowOff>47625</xdr:rowOff>
    </xdr:to>
    <xdr:sp macro="" textlink="'Pic Ref'!$E$4">
      <xdr:nvSpPr>
        <xdr:cNvPr id="4" name="TextBox 3">
          <a:extLst>
            <a:ext uri="{FF2B5EF4-FFF2-40B4-BE49-F238E27FC236}">
              <a16:creationId xmlns:a16="http://schemas.microsoft.com/office/drawing/2014/main" id="{4EB557DD-8790-F16E-ADA5-A153EC0CCB80}"/>
            </a:ext>
          </a:extLst>
        </xdr:cNvPr>
        <xdr:cNvSpPr txBox="1"/>
      </xdr:nvSpPr>
      <xdr:spPr>
        <a:xfrm>
          <a:off x="8315325" y="4829175"/>
          <a:ext cx="1190625" cy="3143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A2014230-78FC-45E5-BB54-EC8193E17268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/>
            <a:t>65' ROW LENGTH</a:t>
          </a:fld>
          <a:endParaRPr lang="en-US" sz="1100" b="1"/>
        </a:p>
      </xdr:txBody>
    </xdr:sp>
    <xdr:clientData/>
  </xdr:twoCellAnchor>
  <xdr:twoCellAnchor>
    <xdr:from>
      <xdr:col>8</xdr:col>
      <xdr:colOff>533401</xdr:colOff>
      <xdr:row>23</xdr:row>
      <xdr:rowOff>9525</xdr:rowOff>
    </xdr:from>
    <xdr:to>
      <xdr:col>10</xdr:col>
      <xdr:colOff>228601</xdr:colOff>
      <xdr:row>24</xdr:row>
      <xdr:rowOff>57151</xdr:rowOff>
    </xdr:to>
    <xdr:sp macro="" textlink="'Pic Ref'!$F$4">
      <xdr:nvSpPr>
        <xdr:cNvPr id="5" name="TextBox 4">
          <a:extLst>
            <a:ext uri="{FF2B5EF4-FFF2-40B4-BE49-F238E27FC236}">
              <a16:creationId xmlns:a16="http://schemas.microsoft.com/office/drawing/2014/main" id="{D2FD9F79-B827-4DF5-B0BC-AF41CDBD84E5}"/>
            </a:ext>
          </a:extLst>
        </xdr:cNvPr>
        <xdr:cNvSpPr txBox="1"/>
      </xdr:nvSpPr>
      <xdr:spPr>
        <a:xfrm>
          <a:off x="8229601" y="4514850"/>
          <a:ext cx="1409700" cy="238126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E5BF64B-08B6-4199-A52D-983CED5251A7}" type="TxLink">
            <a:rPr lang="en-US" sz="1100" b="1" i="0" u="none" strike="noStrike">
              <a:solidFill>
                <a:sysClr val="windowText" lastClr="000000"/>
              </a:solidFill>
              <a:latin typeface="Aptos Narrow"/>
            </a:rPr>
            <a:pPr/>
            <a:t>66' TRENCH LENGTH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561969</xdr:colOff>
      <xdr:row>21</xdr:row>
      <xdr:rowOff>1</xdr:rowOff>
    </xdr:from>
    <xdr:to>
      <xdr:col>10</xdr:col>
      <xdr:colOff>380994</xdr:colOff>
      <xdr:row>22</xdr:row>
      <xdr:rowOff>66675</xdr:rowOff>
    </xdr:to>
    <xdr:sp macro="" textlink="'Pic Ref'!$H$4">
      <xdr:nvSpPr>
        <xdr:cNvPr id="7" name="TextBox 6">
          <a:extLst>
            <a:ext uri="{FF2B5EF4-FFF2-40B4-BE49-F238E27FC236}">
              <a16:creationId xmlns:a16="http://schemas.microsoft.com/office/drawing/2014/main" id="{A6438C9E-DCB2-4B0B-A4EC-6AB07D7AA85E}"/>
            </a:ext>
          </a:extLst>
        </xdr:cNvPr>
        <xdr:cNvSpPr txBox="1"/>
      </xdr:nvSpPr>
      <xdr:spPr>
        <a:xfrm flipH="1">
          <a:off x="8258169" y="4124326"/>
          <a:ext cx="1533525" cy="2571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8565C9D-B221-4877-8A2D-07A350DF97F7}" type="TxLink">
            <a:rPr lang="en-US" sz="1100" b="1" i="0" u="none" strike="noStrike">
              <a:solidFill>
                <a:sysClr val="windowText" lastClr="000000"/>
              </a:solidFill>
              <a:latin typeface="Aptos Narrow"/>
            </a:rPr>
            <a:pPr/>
            <a:t>NUMBER OF ROWS: 4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257175</xdr:colOff>
      <xdr:row>29</xdr:row>
      <xdr:rowOff>38100</xdr:rowOff>
    </xdr:from>
    <xdr:to>
      <xdr:col>14</xdr:col>
      <xdr:colOff>85725</xdr:colOff>
      <xdr:row>30</xdr:row>
      <xdr:rowOff>95250</xdr:rowOff>
    </xdr:to>
    <xdr:sp macro="" textlink="'Pic Ref'!$G$4">
      <xdr:nvSpPr>
        <xdr:cNvPr id="6" name="TextBox 5">
          <a:extLst>
            <a:ext uri="{FF2B5EF4-FFF2-40B4-BE49-F238E27FC236}">
              <a16:creationId xmlns:a16="http://schemas.microsoft.com/office/drawing/2014/main" id="{CEC8C3EF-F559-485A-BB36-9CEDE8E1B441}"/>
            </a:ext>
          </a:extLst>
        </xdr:cNvPr>
        <xdr:cNvSpPr txBox="1"/>
      </xdr:nvSpPr>
      <xdr:spPr>
        <a:xfrm flipH="1">
          <a:off x="11496675" y="5895975"/>
          <a:ext cx="438150" cy="25717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19B9C8-604D-4D09-8C87-A158EF186B55}" type="TxLink">
            <a:rPr lang="en-US" sz="1000" b="1" i="0" u="none" strike="noStrike">
              <a:solidFill>
                <a:srgbClr val="000000"/>
              </a:solidFill>
              <a:latin typeface="Aptos Narrow"/>
            </a:rPr>
            <a:pPr/>
            <a:t>5'</a:t>
          </a:fld>
          <a:endParaRPr lang="en-US" sz="5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1</xdr:row>
      <xdr:rowOff>114300</xdr:rowOff>
    </xdr:from>
    <xdr:to>
      <xdr:col>13</xdr:col>
      <xdr:colOff>285750</xdr:colOff>
      <xdr:row>10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25BCA2-91F3-43B1-8A07-9F583A9F47EB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9"/>
            </a:ext>
          </a:extLst>
        </xdr:cNvPicPr>
      </xdr:nvPicPr>
      <xdr:blipFill rotWithShape="1">
        <a:blip xmlns:r="http://schemas.openxmlformats.org/officeDocument/2006/relationships" r:embed="rId1"/>
        <a:srcRect t="7004" b="7631"/>
        <a:stretch>
          <a:fillRect/>
        </a:stretch>
      </xdr:blipFill>
      <xdr:spPr>
        <a:xfrm>
          <a:off x="5734050" y="219075"/>
          <a:ext cx="5038725" cy="1857375"/>
        </a:xfrm>
        <a:prstGeom prst="rect">
          <a:avLst/>
        </a:prstGeom>
      </xdr:spPr>
    </xdr:pic>
    <xdr:clientData/>
  </xdr:twoCellAnchor>
  <xdr:twoCellAnchor>
    <xdr:from>
      <xdr:col>5</xdr:col>
      <xdr:colOff>200023</xdr:colOff>
      <xdr:row>12</xdr:row>
      <xdr:rowOff>43813</xdr:rowOff>
    </xdr:from>
    <xdr:to>
      <xdr:col>13</xdr:col>
      <xdr:colOff>247650</xdr:colOff>
      <xdr:row>23</xdr:row>
      <xdr:rowOff>39233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B74EF4-BA19-4931-9F83-B7851CB8272A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10"/>
            </a:ext>
          </a:extLst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</a:extLst>
        </a:blip>
        <a:srcRect l="2112" r="2325"/>
        <a:stretch>
          <a:fillRect/>
        </a:stretch>
      </xdr:blipFill>
      <xdr:spPr>
        <a:xfrm>
          <a:off x="5676898" y="2396488"/>
          <a:ext cx="5057777" cy="2148070"/>
        </a:xfrm>
        <a:prstGeom prst="rect">
          <a:avLst/>
        </a:prstGeom>
      </xdr:spPr>
    </xdr:pic>
    <xdr:clientData/>
  </xdr:twoCellAnchor>
  <xdr:twoCellAnchor>
    <xdr:from>
      <xdr:col>8</xdr:col>
      <xdr:colOff>452662</xdr:colOff>
      <xdr:row>13</xdr:row>
      <xdr:rowOff>76199</xdr:rowOff>
    </xdr:from>
    <xdr:to>
      <xdr:col>10</xdr:col>
      <xdr:colOff>422895</xdr:colOff>
      <xdr:row>14</xdr:row>
      <xdr:rowOff>66674</xdr:rowOff>
    </xdr:to>
    <xdr:sp macro="" textlink="'Pic Ref'!$E$9">
      <xdr:nvSpPr>
        <xdr:cNvPr id="4" name="TextBox 3">
          <a:extLst>
            <a:ext uri="{FF2B5EF4-FFF2-40B4-BE49-F238E27FC236}">
              <a16:creationId xmlns:a16="http://schemas.microsoft.com/office/drawing/2014/main" id="{301080DB-5AF9-4B3D-AC3E-84CF7EC89B46}"/>
            </a:ext>
          </a:extLst>
        </xdr:cNvPr>
        <xdr:cNvSpPr txBox="1"/>
      </xdr:nvSpPr>
      <xdr:spPr>
        <a:xfrm flipH="1">
          <a:off x="7758337" y="2628899"/>
          <a:ext cx="1189433" cy="2381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00F78F1A-3135-4629-8577-E1FF697397A1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/>
            <a:t>100' ROW LENGTH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481371</xdr:colOff>
      <xdr:row>11</xdr:row>
      <xdr:rowOff>190579</xdr:rowOff>
    </xdr:from>
    <xdr:to>
      <xdr:col>10</xdr:col>
      <xdr:colOff>394050</xdr:colOff>
      <xdr:row>13</xdr:row>
      <xdr:rowOff>57151</xdr:rowOff>
    </xdr:to>
    <xdr:sp macro="" textlink="'Pic Ref'!$F$9">
      <xdr:nvSpPr>
        <xdr:cNvPr id="5" name="TextBox 4">
          <a:extLst>
            <a:ext uri="{FF2B5EF4-FFF2-40B4-BE49-F238E27FC236}">
              <a16:creationId xmlns:a16="http://schemas.microsoft.com/office/drawing/2014/main" id="{AB73D4CE-0CE2-4FB5-89C1-CC409609CF55}"/>
            </a:ext>
          </a:extLst>
        </xdr:cNvPr>
        <xdr:cNvSpPr txBox="1"/>
      </xdr:nvSpPr>
      <xdr:spPr>
        <a:xfrm flipH="1">
          <a:off x="7787046" y="2343229"/>
          <a:ext cx="1131879" cy="266622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D754BFE-5A8D-4BCD-8343-891C86DDFBF6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/>
            <a:t>101' BED LENGTH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223190</xdr:colOff>
      <xdr:row>22</xdr:row>
      <xdr:rowOff>59994</xdr:rowOff>
    </xdr:from>
    <xdr:to>
      <xdr:col>10</xdr:col>
      <xdr:colOff>548334</xdr:colOff>
      <xdr:row>23</xdr:row>
      <xdr:rowOff>141498</xdr:rowOff>
    </xdr:to>
    <xdr:sp macro="" textlink="'Pic Ref'!$H$9">
      <xdr:nvSpPr>
        <xdr:cNvPr id="7" name="TextBox 6">
          <a:extLst>
            <a:ext uri="{FF2B5EF4-FFF2-40B4-BE49-F238E27FC236}">
              <a16:creationId xmlns:a16="http://schemas.microsoft.com/office/drawing/2014/main" id="{38C1F313-384C-4DFA-8182-F76EAB724796}"/>
            </a:ext>
          </a:extLst>
        </xdr:cNvPr>
        <xdr:cNvSpPr txBox="1"/>
      </xdr:nvSpPr>
      <xdr:spPr>
        <a:xfrm flipH="1">
          <a:off x="7528865" y="4374819"/>
          <a:ext cx="1544344" cy="2720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C372A152-F304-4227-A598-BFDFD81DE7C5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/>
            <a:t>NUMBER OF ROWS: 4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590550</xdr:colOff>
      <xdr:row>14</xdr:row>
      <xdr:rowOff>180975</xdr:rowOff>
    </xdr:from>
    <xdr:to>
      <xdr:col>13</xdr:col>
      <xdr:colOff>323850</xdr:colOff>
      <xdr:row>15</xdr:row>
      <xdr:rowOff>161925</xdr:rowOff>
    </xdr:to>
    <xdr:sp macro="" textlink="'Pic Ref'!$I$9">
      <xdr:nvSpPr>
        <xdr:cNvPr id="6" name="TextBox 5">
          <a:extLst>
            <a:ext uri="{FF2B5EF4-FFF2-40B4-BE49-F238E27FC236}">
              <a16:creationId xmlns:a16="http://schemas.microsoft.com/office/drawing/2014/main" id="{97FB28F3-288A-4CF4-B7A8-505C1E3C6717}"/>
            </a:ext>
          </a:extLst>
        </xdr:cNvPr>
        <xdr:cNvSpPr txBox="1"/>
      </xdr:nvSpPr>
      <xdr:spPr>
        <a:xfrm flipH="1">
          <a:off x="10334625" y="2981325"/>
          <a:ext cx="476250" cy="18097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836B366-FA7D-409C-9A34-3555982D0E5F}" type="TxLink">
            <a:rPr lang="en-US" sz="900" b="1" i="0" u="none" strike="noStrike">
              <a:solidFill>
                <a:srgbClr val="000000"/>
              </a:solidFill>
              <a:latin typeface="Aptos Narrow"/>
            </a:rPr>
            <a:pPr/>
            <a:t>5.275'</a:t>
          </a:fld>
          <a:endParaRPr lang="en-US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504825</xdr:colOff>
      <xdr:row>17</xdr:row>
      <xdr:rowOff>161925</xdr:rowOff>
    </xdr:from>
    <xdr:to>
      <xdr:col>13</xdr:col>
      <xdr:colOff>200025</xdr:colOff>
      <xdr:row>19</xdr:row>
      <xdr:rowOff>47625</xdr:rowOff>
    </xdr:to>
    <xdr:sp macro="" textlink="'Pic Ref'!$J$9">
      <xdr:nvSpPr>
        <xdr:cNvPr id="8" name="TextBox 7">
          <a:extLst>
            <a:ext uri="{FF2B5EF4-FFF2-40B4-BE49-F238E27FC236}">
              <a16:creationId xmlns:a16="http://schemas.microsoft.com/office/drawing/2014/main" id="{9846F3BD-4404-43CA-A35F-72606165C87E}"/>
            </a:ext>
          </a:extLst>
        </xdr:cNvPr>
        <xdr:cNvSpPr txBox="1"/>
      </xdr:nvSpPr>
      <xdr:spPr>
        <a:xfrm flipH="1">
          <a:off x="10248900" y="3543300"/>
          <a:ext cx="438150" cy="18097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26A3E0A-B524-4E7E-A1A5-1A2443FEB7B1}" type="TxLink">
            <a:rPr lang="en-US" sz="900" b="1" i="0" u="none" strike="noStrike">
              <a:solidFill>
                <a:srgbClr val="000000"/>
              </a:solidFill>
              <a:latin typeface="Aptos Narrow"/>
            </a:rPr>
            <a:pPr/>
            <a:t>3.25'</a:t>
          </a:fld>
          <a:endParaRPr lang="en-US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152400</xdr:colOff>
      <xdr:row>17</xdr:row>
      <xdr:rowOff>95250</xdr:rowOff>
    </xdr:from>
    <xdr:to>
      <xdr:col>13</xdr:col>
      <xdr:colOff>590550</xdr:colOff>
      <xdr:row>18</xdr:row>
      <xdr:rowOff>76200</xdr:rowOff>
    </xdr:to>
    <xdr:sp macro="" textlink="'Pic Ref'!$G$9">
      <xdr:nvSpPr>
        <xdr:cNvPr id="10" name="TextBox 9">
          <a:extLst>
            <a:ext uri="{FF2B5EF4-FFF2-40B4-BE49-F238E27FC236}">
              <a16:creationId xmlns:a16="http://schemas.microsoft.com/office/drawing/2014/main" id="{B8322F9D-06FA-432C-8A42-9B9D88A9D1D9}"/>
            </a:ext>
          </a:extLst>
        </xdr:cNvPr>
        <xdr:cNvSpPr txBox="1"/>
      </xdr:nvSpPr>
      <xdr:spPr>
        <a:xfrm flipH="1">
          <a:off x="10639425" y="3476625"/>
          <a:ext cx="438150" cy="18097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6EA5D95-DCB8-4E71-BD61-5576B0DE307B}" type="TxLink">
            <a:rPr lang="en-US" sz="900" b="1" i="0" u="none" strike="noStrike">
              <a:solidFill>
                <a:srgbClr val="000000"/>
              </a:solidFill>
              <a:latin typeface="Aptos Narrow"/>
            </a:rPr>
            <a:pPr/>
            <a:t>13.8'</a:t>
          </a:fld>
          <a:endParaRPr lang="en-US" sz="6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57149</xdr:colOff>
      <xdr:row>15</xdr:row>
      <xdr:rowOff>66674</xdr:rowOff>
    </xdr:from>
    <xdr:to>
      <xdr:col>13</xdr:col>
      <xdr:colOff>312974</xdr:colOff>
      <xdr:row>24</xdr:row>
      <xdr:rowOff>171449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EFD6E4F-077B-4100-8F76-DA9B5E836F20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20"/>
            </a:ext>
          </a:extLst>
        </xdr:cNvPicPr>
      </xdr:nvPicPr>
      <xdr:blipFill rotWithShape="1">
        <a:blip xmlns:r="http://schemas.openxmlformats.org/officeDocument/2006/relationships" r:embed="rId1"/>
        <a:srcRect l="1718"/>
        <a:stretch>
          <a:fillRect/>
        </a:stretch>
      </xdr:blipFill>
      <xdr:spPr>
        <a:xfrm>
          <a:off x="5534024" y="3067049"/>
          <a:ext cx="5265975" cy="1800225"/>
        </a:xfrm>
        <a:prstGeom prst="rect">
          <a:avLst/>
        </a:prstGeom>
      </xdr:spPr>
    </xdr:pic>
    <xdr:clientData/>
  </xdr:twoCellAnchor>
  <xdr:twoCellAnchor>
    <xdr:from>
      <xdr:col>8</xdr:col>
      <xdr:colOff>528862</xdr:colOff>
      <xdr:row>16</xdr:row>
      <xdr:rowOff>66674</xdr:rowOff>
    </xdr:from>
    <xdr:to>
      <xdr:col>10</xdr:col>
      <xdr:colOff>499095</xdr:colOff>
      <xdr:row>17</xdr:row>
      <xdr:rowOff>114299</xdr:rowOff>
    </xdr:to>
    <xdr:sp macro="" textlink="'Pic Ref'!$E$14">
      <xdr:nvSpPr>
        <xdr:cNvPr id="4" name="TextBox 3">
          <a:extLst>
            <a:ext uri="{FF2B5EF4-FFF2-40B4-BE49-F238E27FC236}">
              <a16:creationId xmlns:a16="http://schemas.microsoft.com/office/drawing/2014/main" id="{BE3EA2FE-0788-4CA4-BF39-45013F2CD836}"/>
            </a:ext>
          </a:extLst>
        </xdr:cNvPr>
        <xdr:cNvSpPr txBox="1"/>
      </xdr:nvSpPr>
      <xdr:spPr>
        <a:xfrm flipH="1">
          <a:off x="7834537" y="3257549"/>
          <a:ext cx="1189433" cy="2381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AE3A0DB3-A711-436F-AB5D-FAEF3089032C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/>
            <a:t>64' ROW LENGTH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538521</xdr:colOff>
      <xdr:row>14</xdr:row>
      <xdr:rowOff>190579</xdr:rowOff>
    </xdr:from>
    <xdr:to>
      <xdr:col>10</xdr:col>
      <xdr:colOff>451200</xdr:colOff>
      <xdr:row>16</xdr:row>
      <xdr:rowOff>28576</xdr:rowOff>
    </xdr:to>
    <xdr:sp macro="" textlink="'Pic Ref'!$F$14">
      <xdr:nvSpPr>
        <xdr:cNvPr id="5" name="TextBox 4">
          <a:extLst>
            <a:ext uri="{FF2B5EF4-FFF2-40B4-BE49-F238E27FC236}">
              <a16:creationId xmlns:a16="http://schemas.microsoft.com/office/drawing/2014/main" id="{CD338ABE-8AD2-4F97-BE89-9E42DC4145AC}"/>
            </a:ext>
          </a:extLst>
        </xdr:cNvPr>
        <xdr:cNvSpPr txBox="1"/>
      </xdr:nvSpPr>
      <xdr:spPr>
        <a:xfrm flipH="1">
          <a:off x="7844196" y="2990929"/>
          <a:ext cx="1131879" cy="228522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E44B1964-8031-4887-8D0D-3C9C186C8C68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/>
            <a:t>65' BED LENGTH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289865</xdr:colOff>
      <xdr:row>24</xdr:row>
      <xdr:rowOff>69519</xdr:rowOff>
    </xdr:from>
    <xdr:to>
      <xdr:col>11</xdr:col>
      <xdr:colOff>5409</xdr:colOff>
      <xdr:row>27</xdr:row>
      <xdr:rowOff>151023</xdr:rowOff>
    </xdr:to>
    <xdr:sp macro="" textlink="'Pic Ref'!$H$14">
      <xdr:nvSpPr>
        <xdr:cNvPr id="6" name="TextBox 5">
          <a:extLst>
            <a:ext uri="{FF2B5EF4-FFF2-40B4-BE49-F238E27FC236}">
              <a16:creationId xmlns:a16="http://schemas.microsoft.com/office/drawing/2014/main" id="{014DC796-1FA9-4894-BB57-5E8623B127F5}"/>
            </a:ext>
          </a:extLst>
        </xdr:cNvPr>
        <xdr:cNvSpPr txBox="1"/>
      </xdr:nvSpPr>
      <xdr:spPr>
        <a:xfrm flipH="1">
          <a:off x="7595540" y="4765344"/>
          <a:ext cx="1544344" cy="2720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9D9CFB7-8F6F-401B-8AEC-96F6580A9A8D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/>
            <a:t>NUMBER OF ROWS: 4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504825</xdr:colOff>
      <xdr:row>22</xdr:row>
      <xdr:rowOff>38100</xdr:rowOff>
    </xdr:from>
    <xdr:to>
      <xdr:col>13</xdr:col>
      <xdr:colOff>238125</xdr:colOff>
      <xdr:row>23</xdr:row>
      <xdr:rowOff>28575</xdr:rowOff>
    </xdr:to>
    <xdr:sp macro="" textlink="'Pic Ref'!$I$14">
      <xdr:nvSpPr>
        <xdr:cNvPr id="7" name="TextBox 6">
          <a:extLst>
            <a:ext uri="{FF2B5EF4-FFF2-40B4-BE49-F238E27FC236}">
              <a16:creationId xmlns:a16="http://schemas.microsoft.com/office/drawing/2014/main" id="{6F04F3EC-30F9-46D7-8A2E-403990884577}"/>
            </a:ext>
          </a:extLst>
        </xdr:cNvPr>
        <xdr:cNvSpPr txBox="1"/>
      </xdr:nvSpPr>
      <xdr:spPr>
        <a:xfrm flipH="1">
          <a:off x="10248900" y="4352925"/>
          <a:ext cx="476250" cy="18097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8E61239F-2620-482E-9578-4C7BAE2F2F49}" type="TxLink">
            <a:rPr lang="en-US" sz="900" b="1" i="0" u="none" strike="noStrike">
              <a:solidFill>
                <a:srgbClr val="000000"/>
              </a:solidFill>
              <a:latin typeface="Aptos Narrow"/>
            </a:rPr>
            <a:pPr/>
            <a:t>2.5'</a:t>
          </a:fld>
          <a:endParaRPr lang="en-US" sz="3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571500</xdr:colOff>
      <xdr:row>19</xdr:row>
      <xdr:rowOff>114300</xdr:rowOff>
    </xdr:from>
    <xdr:to>
      <xdr:col>13</xdr:col>
      <xdr:colOff>266700</xdr:colOff>
      <xdr:row>20</xdr:row>
      <xdr:rowOff>47625</xdr:rowOff>
    </xdr:to>
    <xdr:sp macro="" textlink="'Pic Ref'!$J$14">
      <xdr:nvSpPr>
        <xdr:cNvPr id="8" name="TextBox 7">
          <a:extLst>
            <a:ext uri="{FF2B5EF4-FFF2-40B4-BE49-F238E27FC236}">
              <a16:creationId xmlns:a16="http://schemas.microsoft.com/office/drawing/2014/main" id="{068B3C95-B591-4CF8-9638-249E20A3073C}"/>
            </a:ext>
          </a:extLst>
        </xdr:cNvPr>
        <xdr:cNvSpPr txBox="1"/>
      </xdr:nvSpPr>
      <xdr:spPr>
        <a:xfrm flipH="1">
          <a:off x="10315575" y="3790950"/>
          <a:ext cx="438150" cy="18097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2F537D7-BA3B-4187-87BC-2686B40201A6}" type="TxLink">
            <a:rPr lang="en-US" sz="900" b="1" i="0" u="none" strike="noStrike">
              <a:solidFill>
                <a:srgbClr val="000000"/>
              </a:solidFill>
              <a:latin typeface="Aptos Narrow"/>
            </a:rPr>
            <a:pPr/>
            <a:t>3.25'</a:t>
          </a:fld>
          <a:endParaRPr lang="en-US" sz="3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66675</xdr:colOff>
      <xdr:row>20</xdr:row>
      <xdr:rowOff>57151</xdr:rowOff>
    </xdr:from>
    <xdr:to>
      <xdr:col>13</xdr:col>
      <xdr:colOff>504825</xdr:colOff>
      <xdr:row>21</xdr:row>
      <xdr:rowOff>161926</xdr:rowOff>
    </xdr:to>
    <xdr:sp macro="" textlink="'Pic Ref'!$G$14">
      <xdr:nvSpPr>
        <xdr:cNvPr id="9" name="TextBox 8">
          <a:extLst>
            <a:ext uri="{FF2B5EF4-FFF2-40B4-BE49-F238E27FC236}">
              <a16:creationId xmlns:a16="http://schemas.microsoft.com/office/drawing/2014/main" id="{6EBA95E9-A281-4FC7-B96F-EFD0833427DB}"/>
            </a:ext>
          </a:extLst>
        </xdr:cNvPr>
        <xdr:cNvSpPr txBox="1"/>
      </xdr:nvSpPr>
      <xdr:spPr>
        <a:xfrm flipH="1">
          <a:off x="10553700" y="3981451"/>
          <a:ext cx="438150" cy="304800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32251B0-928E-4DBB-9545-4FDED7D58330}" type="TxLink">
            <a:rPr lang="en-US" sz="900" b="1" i="0" u="none" strike="noStrike">
              <a:solidFill>
                <a:srgbClr val="000000"/>
              </a:solidFill>
              <a:latin typeface="Aptos Narrow"/>
            </a:rPr>
            <a:pPr/>
            <a:t>5.75'</a:t>
          </a:fld>
          <a:endParaRPr lang="en-US" sz="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6</xdr:col>
      <xdr:colOff>161926</xdr:colOff>
      <xdr:row>3</xdr:row>
      <xdr:rowOff>47626</xdr:rowOff>
    </xdr:from>
    <xdr:to>
      <xdr:col>12</xdr:col>
      <xdr:colOff>219076</xdr:colOff>
      <xdr:row>13</xdr:row>
      <xdr:rowOff>150897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1293D79-D947-4992-AC86-4BD7DED0226A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19"/>
            </a:ext>
          </a:extLst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48401" y="590551"/>
          <a:ext cx="3714750" cy="21130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495300</xdr:colOff>
      <xdr:row>39</xdr:row>
      <xdr:rowOff>19050</xdr:rowOff>
    </xdr:from>
    <xdr:to>
      <xdr:col>26</xdr:col>
      <xdr:colOff>143762</xdr:colOff>
      <xdr:row>56</xdr:row>
      <xdr:rowOff>19502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7D4E73A-CFD1-BBD8-F2F6-3A781A30B027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14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63450" y="7486650"/>
          <a:ext cx="6354062" cy="3238952"/>
        </a:xfrm>
        <a:prstGeom prst="rect">
          <a:avLst/>
        </a:prstGeom>
      </xdr:spPr>
    </xdr:pic>
    <xdr:clientData/>
  </xdr:twoCellAnchor>
  <xdr:twoCellAnchor editAs="oneCell">
    <xdr:from>
      <xdr:col>13</xdr:col>
      <xdr:colOff>495300</xdr:colOff>
      <xdr:row>17</xdr:row>
      <xdr:rowOff>76200</xdr:rowOff>
    </xdr:from>
    <xdr:to>
      <xdr:col>29</xdr:col>
      <xdr:colOff>29871</xdr:colOff>
      <xdr:row>38</xdr:row>
      <xdr:rowOff>19600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00DCE53-5E12-79AF-8F58-13FE03F825C6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15"/>
            </a:ext>
          </a:extLst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5600" y="3314700"/>
          <a:ext cx="9288171" cy="39439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0</v>
    <v>4</v>
  </rv>
  <rv s="0">
    <v>10</v>
    <v>4</v>
  </rv>
  <rv s="0">
    <v>1</v>
    <v>4</v>
  </rv>
  <rv s="0">
    <v>11</v>
    <v>4</v>
  </rv>
  <rv s="0">
    <v>8</v>
    <v>4</v>
  </rv>
  <rv s="0">
    <v>18</v>
    <v>4</v>
  </rv>
  <rv s="0">
    <v>21</v>
    <v>4</v>
  </rv>
  <rv s="0">
    <v>20</v>
    <v>4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1106-329E-455F-A3F6-ECF1E52E99A1}">
  <dimension ref="B1:E36"/>
  <sheetViews>
    <sheetView showGridLines="0" workbookViewId="0">
      <selection activeCell="D25" sqref="D25"/>
    </sheetView>
  </sheetViews>
  <sheetFormatPr defaultRowHeight="14.5" x14ac:dyDescent="0.35"/>
  <cols>
    <col min="2" max="2" width="38" bestFit="1" customWidth="1"/>
    <col min="5" max="5" width="22.54296875" customWidth="1"/>
    <col min="6" max="6" width="9.1796875" customWidth="1"/>
    <col min="10" max="10" width="16.54296875" bestFit="1" customWidth="1"/>
  </cols>
  <sheetData>
    <row r="1" spans="2:5" ht="15" thickBot="1" x14ac:dyDescent="0.4"/>
    <row r="2" spans="2:5" ht="19" thickBot="1" x14ac:dyDescent="0.4">
      <c r="B2" s="60" t="s">
        <v>51</v>
      </c>
      <c r="C2" s="61"/>
      <c r="D2" s="61"/>
      <c r="E2" s="61"/>
    </row>
    <row r="3" spans="2:5" x14ac:dyDescent="0.35">
      <c r="B3" s="8" t="s">
        <v>26</v>
      </c>
      <c r="C3" s="65"/>
      <c r="D3" s="65"/>
      <c r="E3" s="66"/>
    </row>
    <row r="4" spans="2:5" x14ac:dyDescent="0.35">
      <c r="B4" s="6" t="s">
        <v>27</v>
      </c>
      <c r="C4" s="67"/>
      <c r="D4" s="67"/>
      <c r="E4" s="68"/>
    </row>
    <row r="5" spans="2:5" x14ac:dyDescent="0.35">
      <c r="B5" s="6" t="s">
        <v>28</v>
      </c>
      <c r="C5" s="67"/>
      <c r="D5" s="67"/>
      <c r="E5" s="68"/>
    </row>
    <row r="6" spans="2:5" ht="15" thickBot="1" x14ac:dyDescent="0.4">
      <c r="B6" s="7" t="s">
        <v>29</v>
      </c>
      <c r="C6" s="69" t="s">
        <v>92</v>
      </c>
      <c r="D6" s="69"/>
      <c r="E6" s="70"/>
    </row>
    <row r="7" spans="2:5" ht="15" thickBot="1" x14ac:dyDescent="0.4"/>
    <row r="8" spans="2:5" ht="18.75" customHeight="1" thickBot="1" x14ac:dyDescent="0.4">
      <c r="B8" s="62" t="s">
        <v>30</v>
      </c>
      <c r="C8" s="63"/>
      <c r="D8" s="63"/>
      <c r="E8" s="63"/>
    </row>
    <row r="9" spans="2:5" ht="15" thickBot="1" x14ac:dyDescent="0.4">
      <c r="B9" s="16" t="s">
        <v>31</v>
      </c>
      <c r="C9" s="17" t="s">
        <v>32</v>
      </c>
      <c r="D9" s="17" t="s">
        <v>33</v>
      </c>
      <c r="E9" s="18" t="s">
        <v>50</v>
      </c>
    </row>
    <row r="10" spans="2:5" x14ac:dyDescent="0.35">
      <c r="B10" s="10" t="s">
        <v>17</v>
      </c>
      <c r="C10" s="22">
        <v>3</v>
      </c>
      <c r="D10" s="11"/>
      <c r="E10" s="12"/>
    </row>
    <row r="11" spans="2:5" x14ac:dyDescent="0.35">
      <c r="B11" s="6" t="s">
        <v>18</v>
      </c>
      <c r="C11" s="9">
        <f>IF(C10&lt;1,0,200*C10)</f>
        <v>600</v>
      </c>
      <c r="D11" s="9" t="s">
        <v>34</v>
      </c>
      <c r="E11" s="13"/>
    </row>
    <row r="12" spans="2:5" ht="15" thickBot="1" x14ac:dyDescent="0.4">
      <c r="B12" s="7" t="s">
        <v>35</v>
      </c>
      <c r="C12" s="14">
        <f>IFERROR(VLOOKUP($C$10,Ref!$B$19:$C$31,2,FALSE),"")</f>
        <v>240</v>
      </c>
      <c r="D12" s="14" t="s">
        <v>11</v>
      </c>
      <c r="E12" s="15"/>
    </row>
    <row r="13" spans="2:5" ht="15" thickBot="1" x14ac:dyDescent="0.4">
      <c r="C13" s="1"/>
      <c r="D13" s="1"/>
    </row>
    <row r="14" spans="2:5" ht="19" thickBot="1" x14ac:dyDescent="0.4">
      <c r="B14" s="62" t="s">
        <v>36</v>
      </c>
      <c r="C14" s="63"/>
      <c r="D14" s="63"/>
      <c r="E14" s="63"/>
    </row>
    <row r="15" spans="2:5" ht="15" thickBot="1" x14ac:dyDescent="0.4">
      <c r="B15" s="16" t="s">
        <v>31</v>
      </c>
      <c r="C15" s="17" t="s">
        <v>32</v>
      </c>
      <c r="D15" s="17" t="s">
        <v>33</v>
      </c>
      <c r="E15" s="18" t="s">
        <v>50</v>
      </c>
    </row>
    <row r="16" spans="2:5" x14ac:dyDescent="0.35">
      <c r="B16" s="41" t="s">
        <v>56</v>
      </c>
      <c r="C16" s="42">
        <v>1.1200000000000001</v>
      </c>
      <c r="D16" s="20" t="s">
        <v>115</v>
      </c>
      <c r="E16" s="43"/>
    </row>
    <row r="17" spans="2:5" x14ac:dyDescent="0.35">
      <c r="B17" s="6" t="str">
        <f>IFERROR(VLOOKUP($C$6,Ref!$AA$2:$AB$4,2,FALSE),"Soil Type")</f>
        <v>Percolation Rate</v>
      </c>
      <c r="C17" s="23">
        <v>2</v>
      </c>
      <c r="D17" s="9" t="s">
        <v>116</v>
      </c>
      <c r="E17" s="13"/>
    </row>
    <row r="18" spans="2:5" ht="15" thickBot="1" x14ac:dyDescent="0.4">
      <c r="B18" s="7" t="s">
        <v>37</v>
      </c>
      <c r="C18" s="14">
        <f>IFERROR(VLOOKUP($C$17,Ref!$L:$X,$C$10+1,FALSE),"")</f>
        <v>242</v>
      </c>
      <c r="D18" s="14" t="s">
        <v>114</v>
      </c>
      <c r="E18" s="15"/>
    </row>
    <row r="19" spans="2:5" ht="15" thickBot="1" x14ac:dyDescent="0.4">
      <c r="C19" s="1"/>
      <c r="D19" s="1"/>
    </row>
    <row r="20" spans="2:5" ht="19" thickBot="1" x14ac:dyDescent="0.4">
      <c r="B20" s="62" t="s">
        <v>38</v>
      </c>
      <c r="C20" s="63"/>
      <c r="D20" s="63"/>
      <c r="E20" s="64"/>
    </row>
    <row r="21" spans="2:5" x14ac:dyDescent="0.35">
      <c r="B21" s="19" t="s">
        <v>31</v>
      </c>
      <c r="C21" s="20" t="s">
        <v>32</v>
      </c>
      <c r="D21" s="20" t="s">
        <v>33</v>
      </c>
      <c r="E21" s="21" t="s">
        <v>50</v>
      </c>
    </row>
    <row r="22" spans="2:5" x14ac:dyDescent="0.35">
      <c r="B22" s="6" t="s">
        <v>20</v>
      </c>
      <c r="C22" s="23">
        <v>65</v>
      </c>
      <c r="D22" s="9" t="s">
        <v>11</v>
      </c>
      <c r="E22" s="13"/>
    </row>
    <row r="23" spans="2:5" x14ac:dyDescent="0.35">
      <c r="B23" s="6" t="s">
        <v>21</v>
      </c>
      <c r="C23" s="9">
        <f>ROUNDUP(C12/C22,0)</f>
        <v>4</v>
      </c>
      <c r="D23" s="9"/>
      <c r="E23" s="13"/>
    </row>
    <row r="24" spans="2:5" x14ac:dyDescent="0.35">
      <c r="B24" s="6" t="s">
        <v>22</v>
      </c>
      <c r="C24" s="9">
        <f>C23*C22</f>
        <v>260</v>
      </c>
      <c r="D24" s="9" t="s">
        <v>11</v>
      </c>
      <c r="E24" s="13"/>
    </row>
    <row r="25" spans="2:5" ht="15" thickBot="1" x14ac:dyDescent="0.4">
      <c r="B25" s="7" t="s">
        <v>40</v>
      </c>
      <c r="C25" s="14" t="str">
        <f>IF(C24&gt;=C12,"Yes", "No")</f>
        <v>Yes</v>
      </c>
      <c r="D25" s="14"/>
      <c r="E25" s="15"/>
    </row>
    <row r="26" spans="2:5" ht="15" thickBot="1" x14ac:dyDescent="0.4">
      <c r="C26" s="1"/>
      <c r="D26" s="1"/>
    </row>
    <row r="27" spans="2:5" x14ac:dyDescent="0.35">
      <c r="B27" s="10" t="s">
        <v>23</v>
      </c>
      <c r="C27" s="11">
        <f>IFERROR(VLOOKUP($C$23,Ref!$F:$H,2,FALSE),"")</f>
        <v>3.25</v>
      </c>
      <c r="D27" s="11" t="s">
        <v>11</v>
      </c>
      <c r="E27" s="12"/>
    </row>
    <row r="28" spans="2:5" x14ac:dyDescent="0.35">
      <c r="B28" s="6" t="s">
        <v>42</v>
      </c>
      <c r="C28" s="23">
        <v>5</v>
      </c>
      <c r="D28" s="9" t="s">
        <v>11</v>
      </c>
      <c r="E28" s="13"/>
    </row>
    <row r="29" spans="2:5" x14ac:dyDescent="0.35">
      <c r="B29" s="6" t="s">
        <v>43</v>
      </c>
      <c r="C29" s="9">
        <f>C28*(C22+1)</f>
        <v>330</v>
      </c>
      <c r="D29" s="9" t="s">
        <v>114</v>
      </c>
      <c r="E29" s="13"/>
    </row>
    <row r="30" spans="2:5" ht="15" thickBot="1" x14ac:dyDescent="0.4">
      <c r="B30" s="7" t="s">
        <v>41</v>
      </c>
      <c r="C30" s="14" t="str">
        <f>IF(C29&gt;=C18,"Yes","No")</f>
        <v>Yes</v>
      </c>
      <c r="D30" s="14"/>
      <c r="E30" s="15"/>
    </row>
    <row r="31" spans="2:5" ht="15" thickBot="1" x14ac:dyDescent="0.4">
      <c r="C31" s="1"/>
      <c r="D31" s="1"/>
    </row>
    <row r="32" spans="2:5" ht="19" thickBot="1" x14ac:dyDescent="0.4">
      <c r="B32" s="62" t="s">
        <v>49</v>
      </c>
      <c r="C32" s="63"/>
      <c r="D32" s="63"/>
      <c r="E32" s="63"/>
    </row>
    <row r="33" spans="2:5" ht="15" thickBot="1" x14ac:dyDescent="0.4">
      <c r="B33" s="16" t="s">
        <v>44</v>
      </c>
      <c r="C33" s="17" t="s">
        <v>32</v>
      </c>
      <c r="D33" s="17" t="s">
        <v>33</v>
      </c>
      <c r="E33" s="18" t="s">
        <v>50</v>
      </c>
    </row>
    <row r="34" spans="2:5" x14ac:dyDescent="0.35">
      <c r="B34" s="10" t="s">
        <v>46</v>
      </c>
      <c r="C34" s="24">
        <f>ROUNDUP(IF(AND(ISBLANK(C28),ISBLANK(C22)),(C22/8)*C23,(C22/8)*C23),0)</f>
        <v>33</v>
      </c>
      <c r="D34" s="11" t="s">
        <v>48</v>
      </c>
      <c r="E34" s="12"/>
    </row>
    <row r="35" spans="2:5" x14ac:dyDescent="0.35">
      <c r="B35" s="6" t="s">
        <v>45</v>
      </c>
      <c r="C35" s="9">
        <f>ROUNDUP(C23/2,0)</f>
        <v>2</v>
      </c>
      <c r="D35" s="9" t="s">
        <v>48</v>
      </c>
      <c r="E35" s="13"/>
    </row>
    <row r="36" spans="2:5" ht="15" thickBot="1" x14ac:dyDescent="0.4">
      <c r="B36" s="7" t="s">
        <v>47</v>
      </c>
      <c r="C36" s="14">
        <f>(C35*2)+2</f>
        <v>6</v>
      </c>
      <c r="D36" s="14" t="s">
        <v>48</v>
      </c>
      <c r="E36" s="15"/>
    </row>
  </sheetData>
  <mergeCells count="9">
    <mergeCell ref="B2:E2"/>
    <mergeCell ref="B8:E8"/>
    <mergeCell ref="B14:E14"/>
    <mergeCell ref="B20:E20"/>
    <mergeCell ref="B32:E32"/>
    <mergeCell ref="C3:E3"/>
    <mergeCell ref="C4:E4"/>
    <mergeCell ref="C5:E5"/>
    <mergeCell ref="C6:E6"/>
  </mergeCells>
  <dataValidations count="1">
    <dataValidation type="list" allowBlank="1" showInputMessage="1" showErrorMessage="1" sqref="C17" xr:uid="{695D67B2-BA1A-4EBC-99EE-C1EA7D9F3ED6}">
      <formula1>MESoil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85D1710-96CB-4761-8023-D93F7EC919D1}">
          <x14:formula1>
            <xm:f>Ref!$K$13:$K$21</xm:f>
          </x14:formula1>
          <xm:sqref>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CF17-3C0C-48F7-9A9A-FF45938977D6}">
  <dimension ref="A1:E39"/>
  <sheetViews>
    <sheetView showGridLines="0" tabSelected="1" topLeftCell="A18" workbookViewId="0">
      <selection activeCell="B44" sqref="B44"/>
    </sheetView>
  </sheetViews>
  <sheetFormatPr defaultRowHeight="14.5" x14ac:dyDescent="0.35"/>
  <cols>
    <col min="2" max="2" width="38" bestFit="1" customWidth="1"/>
    <col min="5" max="5" width="16.7265625" customWidth="1"/>
    <col min="13" max="13" width="11.1796875" customWidth="1"/>
  </cols>
  <sheetData>
    <row r="1" spans="2:5" ht="8.25" customHeight="1" x14ac:dyDescent="0.35"/>
    <row r="2" spans="2:5" ht="19" thickBot="1" x14ac:dyDescent="0.4">
      <c r="B2" s="71" t="s">
        <v>52</v>
      </c>
      <c r="C2" s="72"/>
      <c r="D2" s="72"/>
      <c r="E2" s="72"/>
    </row>
    <row r="3" spans="2:5" x14ac:dyDescent="0.35">
      <c r="B3" s="10" t="s">
        <v>26</v>
      </c>
      <c r="C3" s="73"/>
      <c r="D3" s="74"/>
      <c r="E3" s="75"/>
    </row>
    <row r="4" spans="2:5" x14ac:dyDescent="0.35">
      <c r="B4" s="6" t="s">
        <v>148</v>
      </c>
      <c r="C4" s="76"/>
      <c r="D4" s="77"/>
      <c r="E4" s="78"/>
    </row>
    <row r="5" spans="2:5" x14ac:dyDescent="0.35">
      <c r="B5" s="6" t="s">
        <v>27</v>
      </c>
      <c r="C5" s="76"/>
      <c r="D5" s="77"/>
      <c r="E5" s="78"/>
    </row>
    <row r="6" spans="2:5" ht="15" thickBot="1" x14ac:dyDescent="0.4">
      <c r="B6" s="7" t="s">
        <v>149</v>
      </c>
      <c r="C6" s="79"/>
      <c r="D6" s="80"/>
      <c r="E6" s="81"/>
    </row>
    <row r="7" spans="2:5" ht="15" thickBot="1" x14ac:dyDescent="0.4"/>
    <row r="8" spans="2:5" ht="19" thickBot="1" x14ac:dyDescent="0.4">
      <c r="B8" s="62" t="s">
        <v>30</v>
      </c>
      <c r="C8" s="63"/>
      <c r="D8" s="64"/>
    </row>
    <row r="9" spans="2:5" ht="15" thickBot="1" x14ac:dyDescent="0.4">
      <c r="B9" s="16" t="s">
        <v>31</v>
      </c>
      <c r="C9" s="17" t="s">
        <v>32</v>
      </c>
      <c r="D9" s="18" t="s">
        <v>33</v>
      </c>
    </row>
    <row r="10" spans="2:5" x14ac:dyDescent="0.35">
      <c r="B10" s="10" t="s">
        <v>17</v>
      </c>
      <c r="C10" s="55">
        <v>5</v>
      </c>
      <c r="D10" s="39"/>
    </row>
    <row r="11" spans="2:5" x14ac:dyDescent="0.35">
      <c r="B11" s="6" t="s">
        <v>18</v>
      </c>
      <c r="C11" s="9">
        <f>IF(C10&lt;1,0,200*C10)</f>
        <v>1000</v>
      </c>
      <c r="D11" s="40" t="s">
        <v>34</v>
      </c>
    </row>
    <row r="12" spans="2:5" ht="15" thickBot="1" x14ac:dyDescent="0.4">
      <c r="B12" s="7" t="s">
        <v>35</v>
      </c>
      <c r="C12" s="14">
        <f>IFERROR(VLOOKUP($C$10,Ref!$B$19:$C$31,2,FALSE),"")</f>
        <v>400</v>
      </c>
      <c r="D12" s="53" t="s">
        <v>11</v>
      </c>
    </row>
    <row r="13" spans="2:5" ht="15" thickBot="1" x14ac:dyDescent="0.4">
      <c r="C13" s="1"/>
      <c r="D13" s="1"/>
    </row>
    <row r="14" spans="2:5" ht="19" thickBot="1" x14ac:dyDescent="0.4">
      <c r="B14" s="62" t="s">
        <v>36</v>
      </c>
      <c r="C14" s="63"/>
      <c r="D14" s="64"/>
    </row>
    <row r="15" spans="2:5" ht="15" thickBot="1" x14ac:dyDescent="0.4">
      <c r="B15" s="16" t="s">
        <v>31</v>
      </c>
      <c r="C15" s="17" t="s">
        <v>32</v>
      </c>
      <c r="D15" s="18" t="s">
        <v>33</v>
      </c>
    </row>
    <row r="16" spans="2:5" x14ac:dyDescent="0.35">
      <c r="B16" s="10" t="s">
        <v>113</v>
      </c>
      <c r="C16" s="55" t="s">
        <v>129</v>
      </c>
      <c r="D16" s="39" t="s">
        <v>138</v>
      </c>
    </row>
    <row r="17" spans="2:4" x14ac:dyDescent="0.35">
      <c r="B17" s="6" t="s">
        <v>139</v>
      </c>
      <c r="C17" s="9">
        <f>IFERROR(VLOOKUP($C$16,Ref!$K$24:$O$43,2,FALSE),"")</f>
        <v>0.72</v>
      </c>
      <c r="D17" s="40" t="s">
        <v>115</v>
      </c>
    </row>
    <row r="18" spans="2:4" ht="15" thickBot="1" x14ac:dyDescent="0.4">
      <c r="B18" s="7" t="s">
        <v>147</v>
      </c>
      <c r="C18" s="45">
        <f>C11/C17</f>
        <v>1388.8888888888889</v>
      </c>
      <c r="D18" s="53" t="s">
        <v>114</v>
      </c>
    </row>
    <row r="19" spans="2:4" ht="7.5" customHeight="1" thickBot="1" x14ac:dyDescent="0.4">
      <c r="C19" s="1"/>
      <c r="D19" s="1"/>
    </row>
    <row r="20" spans="2:4" ht="19" thickBot="1" x14ac:dyDescent="0.4">
      <c r="B20" s="83" t="s">
        <v>38</v>
      </c>
      <c r="C20" s="84"/>
      <c r="D20" s="85"/>
    </row>
    <row r="21" spans="2:4" ht="15" thickBot="1" x14ac:dyDescent="0.4">
      <c r="B21" s="19" t="s">
        <v>31</v>
      </c>
      <c r="C21" s="20" t="s">
        <v>32</v>
      </c>
      <c r="D21" s="21" t="s">
        <v>33</v>
      </c>
    </row>
    <row r="22" spans="2:4" x14ac:dyDescent="0.35">
      <c r="B22" s="10" t="s">
        <v>106</v>
      </c>
      <c r="C22" s="56">
        <v>100</v>
      </c>
      <c r="D22" s="39" t="s">
        <v>11</v>
      </c>
    </row>
    <row r="23" spans="2:4" x14ac:dyDescent="0.35">
      <c r="B23" s="6" t="s">
        <v>142</v>
      </c>
      <c r="C23" s="48">
        <f>ROUNDUP(C12/C22,0)</f>
        <v>4</v>
      </c>
      <c r="D23" s="40"/>
    </row>
    <row r="24" spans="2:4" x14ac:dyDescent="0.35">
      <c r="B24" s="6" t="s">
        <v>141</v>
      </c>
      <c r="C24" s="48">
        <f>C23*C22</f>
        <v>400</v>
      </c>
      <c r="D24" s="40" t="s">
        <v>11</v>
      </c>
    </row>
    <row r="25" spans="2:4" ht="16" hidden="1" customHeight="1" x14ac:dyDescent="0.35">
      <c r="B25" s="6" t="s">
        <v>23</v>
      </c>
      <c r="C25" s="50">
        <f>IFERROR(VLOOKUP($C$23,Ref!$F:$H,2,FALSE),"")</f>
        <v>3.25</v>
      </c>
      <c r="D25" s="40" t="s">
        <v>11</v>
      </c>
    </row>
    <row r="26" spans="2:4" ht="12" hidden="1" customHeight="1" x14ac:dyDescent="0.35">
      <c r="B26" s="6" t="s">
        <v>140</v>
      </c>
      <c r="C26" s="50">
        <f>(C22+1)*C25</f>
        <v>328.25</v>
      </c>
      <c r="D26" s="40" t="s">
        <v>11</v>
      </c>
    </row>
    <row r="27" spans="2:4" x14ac:dyDescent="0.35">
      <c r="B27" s="6" t="s">
        <v>143</v>
      </c>
      <c r="C27" s="49">
        <f>(C28-C25)/2</f>
        <v>5.2749999999999995</v>
      </c>
      <c r="D27" s="40" t="s">
        <v>11</v>
      </c>
    </row>
    <row r="28" spans="2:4" x14ac:dyDescent="0.35">
      <c r="B28" s="6" t="s">
        <v>144</v>
      </c>
      <c r="C28" s="49">
        <f>ROUNDUP(MAX(C25,C18/(C22+1)),1)</f>
        <v>13.799999999999999</v>
      </c>
      <c r="D28" s="40" t="s">
        <v>11</v>
      </c>
    </row>
    <row r="29" spans="2:4" x14ac:dyDescent="0.35">
      <c r="B29" s="6" t="s">
        <v>145</v>
      </c>
      <c r="C29" s="48">
        <f>C22+1</f>
        <v>101</v>
      </c>
      <c r="D29" s="40" t="s">
        <v>11</v>
      </c>
    </row>
    <row r="30" spans="2:4" ht="15" thickBot="1" x14ac:dyDescent="0.4">
      <c r="B30" s="7" t="s">
        <v>146</v>
      </c>
      <c r="C30" s="52">
        <f>C29*C28</f>
        <v>1393.8</v>
      </c>
      <c r="D30" s="53" t="s">
        <v>114</v>
      </c>
    </row>
    <row r="31" spans="2:4" ht="15" thickBot="1" x14ac:dyDescent="0.4"/>
    <row r="32" spans="2:4" ht="19" thickBot="1" x14ac:dyDescent="0.4">
      <c r="B32" s="60" t="s">
        <v>49</v>
      </c>
      <c r="C32" s="61"/>
      <c r="D32" s="82"/>
    </row>
    <row r="33" spans="1:5" ht="15" thickBot="1" x14ac:dyDescent="0.4">
      <c r="B33" s="16" t="s">
        <v>44</v>
      </c>
      <c r="C33" s="17" t="s">
        <v>32</v>
      </c>
      <c r="D33" s="18" t="s">
        <v>33</v>
      </c>
    </row>
    <row r="34" spans="1:5" x14ac:dyDescent="0.35">
      <c r="B34" s="10" t="s">
        <v>46</v>
      </c>
      <c r="C34" s="11">
        <f>ROUNDUP((C22/8)*C23,0)</f>
        <v>50</v>
      </c>
      <c r="D34" s="39" t="s">
        <v>48</v>
      </c>
    </row>
    <row r="35" spans="1:5" x14ac:dyDescent="0.35">
      <c r="B35" s="6" t="s">
        <v>45</v>
      </c>
      <c r="C35" s="9">
        <f>ROUNDUP(C23/2,0)</f>
        <v>2</v>
      </c>
      <c r="D35" s="40" t="s">
        <v>48</v>
      </c>
    </row>
    <row r="36" spans="1:5" ht="15" thickBot="1" x14ac:dyDescent="0.4">
      <c r="B36" s="7" t="s">
        <v>47</v>
      </c>
      <c r="C36" s="14">
        <f>(C35*2)+2</f>
        <v>6</v>
      </c>
      <c r="D36" s="53" t="s">
        <v>48</v>
      </c>
    </row>
    <row r="38" spans="1:5" x14ac:dyDescent="0.35">
      <c r="B38" s="86" t="s">
        <v>150</v>
      </c>
      <c r="C38" s="86"/>
      <c r="D38" s="86"/>
      <c r="E38" s="86"/>
    </row>
    <row r="39" spans="1:5" x14ac:dyDescent="0.35">
      <c r="A39" s="59" t="s">
        <v>157</v>
      </c>
      <c r="B39" s="86" t="s">
        <v>151</v>
      </c>
      <c r="C39" s="86"/>
      <c r="D39" s="86"/>
      <c r="E39" s="86"/>
    </row>
  </sheetData>
  <sheetProtection algorithmName="SHA-512" hashValue="uMtEcpN0o9OKSncSiAiBox2cm6D2Yd/oBEuKVZjX7kbxjoMorG2ndnODnNVYC9LvV/+34u16pcvQ+0RlIKgTpA==" saltValue="NUClp2zHOLw2D4cs9s7zsg==" spinCount="100000" sheet="1" objects="1" scenarios="1"/>
  <mergeCells count="11">
    <mergeCell ref="B32:D32"/>
    <mergeCell ref="B14:D14"/>
    <mergeCell ref="B20:D20"/>
    <mergeCell ref="B38:E38"/>
    <mergeCell ref="B39:E39"/>
    <mergeCell ref="B8:D8"/>
    <mergeCell ref="B2:E2"/>
    <mergeCell ref="C3:E3"/>
    <mergeCell ref="C4:E4"/>
    <mergeCell ref="C5:E5"/>
    <mergeCell ref="C6:E6"/>
  </mergeCells>
  <pageMargins left="0.7" right="0.7" top="0.75" bottom="0.75" header="0.3" footer="0.3"/>
  <pageSetup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66F3CBB-2901-4997-9692-CB2F29663821}">
          <x14:formula1>
            <xm:f>Ref!$K$25:$K$43</xm:f>
          </x14:formula1>
          <xm:sqref>C16</xm:sqref>
        </x14:dataValidation>
        <x14:dataValidation type="list" allowBlank="1" showInputMessage="1" showErrorMessage="1" xr:uid="{F9B31E80-18E7-43C6-A6CC-46307E025953}">
          <x14:formula1>
            <xm:f>Ref!$B$20:$B$29</xm:f>
          </x14:formula1>
          <xm:sqref>C10</xm:sqref>
        </x14:dataValidation>
        <x14:dataValidation type="list" allowBlank="1" showInputMessage="1" showErrorMessage="1" xr:uid="{B792ADA6-0001-4C7D-B492-2F0809131722}">
          <x14:formula1>
            <xm:f>Ref!$J$25:$J$46</xm:f>
          </x14:formula1>
          <xm:sqref>C22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FC62F-FD7B-4403-9035-8B7CBFE6FFB3}">
  <dimension ref="B1:E40"/>
  <sheetViews>
    <sheetView showGridLines="0" workbookViewId="0">
      <selection activeCell="G36" sqref="G36"/>
    </sheetView>
  </sheetViews>
  <sheetFormatPr defaultRowHeight="14.5" x14ac:dyDescent="0.35"/>
  <cols>
    <col min="2" max="2" width="38" bestFit="1" customWidth="1"/>
    <col min="5" max="5" width="16.7265625" customWidth="1"/>
    <col min="13" max="13" width="11.1796875" customWidth="1"/>
  </cols>
  <sheetData>
    <row r="1" spans="2:5" ht="8.25" customHeight="1" x14ac:dyDescent="0.35"/>
    <row r="2" spans="2:5" ht="19" thickBot="1" x14ac:dyDescent="0.4">
      <c r="B2" s="71" t="s">
        <v>52</v>
      </c>
      <c r="C2" s="72"/>
      <c r="D2" s="72"/>
      <c r="E2" s="72"/>
    </row>
    <row r="3" spans="2:5" x14ac:dyDescent="0.35">
      <c r="B3" s="10" t="s">
        <v>26</v>
      </c>
      <c r="C3" s="73"/>
      <c r="D3" s="74"/>
      <c r="E3" s="75"/>
    </row>
    <row r="4" spans="2:5" x14ac:dyDescent="0.35">
      <c r="B4" s="6" t="s">
        <v>148</v>
      </c>
      <c r="C4" s="76"/>
      <c r="D4" s="77"/>
      <c r="E4" s="78"/>
    </row>
    <row r="5" spans="2:5" x14ac:dyDescent="0.35">
      <c r="B5" s="6" t="s">
        <v>27</v>
      </c>
      <c r="C5" s="76"/>
      <c r="D5" s="77"/>
      <c r="E5" s="78"/>
    </row>
    <row r="6" spans="2:5" ht="15" thickBot="1" x14ac:dyDescent="0.4">
      <c r="B6" s="7" t="s">
        <v>149</v>
      </c>
      <c r="C6" s="79"/>
      <c r="D6" s="80"/>
      <c r="E6" s="81"/>
    </row>
    <row r="7" spans="2:5" ht="15" thickBot="1" x14ac:dyDescent="0.4"/>
    <row r="8" spans="2:5" ht="19" thickBot="1" x14ac:dyDescent="0.4">
      <c r="B8" s="62" t="s">
        <v>30</v>
      </c>
      <c r="C8" s="63"/>
      <c r="D8" s="64"/>
    </row>
    <row r="9" spans="2:5" ht="15" thickBot="1" x14ac:dyDescent="0.4">
      <c r="B9" s="16" t="s">
        <v>31</v>
      </c>
      <c r="C9" s="17" t="s">
        <v>32</v>
      </c>
      <c r="D9" s="18" t="s">
        <v>33</v>
      </c>
    </row>
    <row r="10" spans="2:5" x14ac:dyDescent="0.35">
      <c r="B10" s="10" t="s">
        <v>17</v>
      </c>
      <c r="C10" s="55">
        <v>3</v>
      </c>
      <c r="D10" s="39"/>
    </row>
    <row r="11" spans="2:5" x14ac:dyDescent="0.35">
      <c r="B11" s="6" t="s">
        <v>18</v>
      </c>
      <c r="C11" s="9">
        <f>IF(C10&lt;1,0,200*C10)</f>
        <v>600</v>
      </c>
      <c r="D11" s="40" t="s">
        <v>34</v>
      </c>
    </row>
    <row r="12" spans="2:5" ht="15" thickBot="1" x14ac:dyDescent="0.4">
      <c r="B12" s="7" t="s">
        <v>35</v>
      </c>
      <c r="C12" s="14">
        <f>IFERROR(VLOOKUP($C$10,Ref!$B$19:$C$31,2,FALSE),"")</f>
        <v>240</v>
      </c>
      <c r="D12" s="53" t="s">
        <v>11</v>
      </c>
    </row>
    <row r="13" spans="2:5" ht="15" thickBot="1" x14ac:dyDescent="0.4">
      <c r="C13" s="1"/>
      <c r="D13" s="1"/>
    </row>
    <row r="14" spans="2:5" ht="19" thickBot="1" x14ac:dyDescent="0.4">
      <c r="B14" s="62" t="s">
        <v>36</v>
      </c>
      <c r="C14" s="63"/>
      <c r="D14" s="64"/>
    </row>
    <row r="15" spans="2:5" ht="15" thickBot="1" x14ac:dyDescent="0.4">
      <c r="B15" s="16" t="s">
        <v>31</v>
      </c>
      <c r="C15" s="17" t="s">
        <v>32</v>
      </c>
      <c r="D15" s="18" t="s">
        <v>33</v>
      </c>
    </row>
    <row r="16" spans="2:5" x14ac:dyDescent="0.35">
      <c r="B16" s="10" t="s">
        <v>113</v>
      </c>
      <c r="C16" s="55" t="s">
        <v>119</v>
      </c>
      <c r="D16" s="39" t="s">
        <v>138</v>
      </c>
    </row>
    <row r="17" spans="2:4" x14ac:dyDescent="0.35">
      <c r="B17" s="6" t="s">
        <v>139</v>
      </c>
      <c r="C17" s="9">
        <f>IFERROR(VLOOKUP($C$16,Ref!$K$24:$O$43,2,FALSE),"")</f>
        <v>2.25</v>
      </c>
      <c r="D17" s="40" t="s">
        <v>115</v>
      </c>
    </row>
    <row r="18" spans="2:4" ht="15" thickBot="1" x14ac:dyDescent="0.4">
      <c r="B18" s="7" t="s">
        <v>147</v>
      </c>
      <c r="C18" s="45">
        <f>C11/C17</f>
        <v>266.66666666666669</v>
      </c>
      <c r="D18" s="53" t="s">
        <v>114</v>
      </c>
    </row>
    <row r="19" spans="2:4" ht="7.5" customHeight="1" thickBot="1" x14ac:dyDescent="0.4">
      <c r="C19" s="1"/>
      <c r="D19" s="1"/>
    </row>
    <row r="20" spans="2:4" ht="19" thickBot="1" x14ac:dyDescent="0.4">
      <c r="B20" s="83" t="s">
        <v>38</v>
      </c>
      <c r="C20" s="84"/>
      <c r="D20" s="85"/>
    </row>
    <row r="21" spans="2:4" ht="15" thickBot="1" x14ac:dyDescent="0.4">
      <c r="B21" s="19" t="s">
        <v>31</v>
      </c>
      <c r="C21" s="20" t="s">
        <v>32</v>
      </c>
      <c r="D21" s="21" t="s">
        <v>33</v>
      </c>
    </row>
    <row r="22" spans="2:4" x14ac:dyDescent="0.35">
      <c r="B22" s="10" t="s">
        <v>60</v>
      </c>
      <c r="C22" s="57">
        <v>0.11</v>
      </c>
      <c r="D22" s="39"/>
    </row>
    <row r="23" spans="2:4" x14ac:dyDescent="0.35">
      <c r="B23" s="6" t="s">
        <v>106</v>
      </c>
      <c r="C23" s="58">
        <v>64</v>
      </c>
      <c r="D23" s="40" t="s">
        <v>11</v>
      </c>
    </row>
    <row r="24" spans="2:4" x14ac:dyDescent="0.35">
      <c r="B24" s="6" t="s">
        <v>142</v>
      </c>
      <c r="C24" s="48">
        <f>ROUNDUP(C12/C23,0)</f>
        <v>4</v>
      </c>
      <c r="D24" s="40"/>
    </row>
    <row r="25" spans="2:4" x14ac:dyDescent="0.35">
      <c r="B25" s="6" t="s">
        <v>141</v>
      </c>
      <c r="C25" s="48">
        <f>C24*C23</f>
        <v>256</v>
      </c>
      <c r="D25" s="40" t="s">
        <v>11</v>
      </c>
    </row>
    <row r="26" spans="2:4" hidden="1" x14ac:dyDescent="0.35">
      <c r="B26" s="6" t="s">
        <v>23</v>
      </c>
      <c r="C26" s="50">
        <f>IFERROR(VLOOKUP($C$24,Ref!$F:$H,2,FALSE),"")</f>
        <v>3.25</v>
      </c>
      <c r="D26" s="40" t="s">
        <v>11</v>
      </c>
    </row>
    <row r="27" spans="2:4" hidden="1" x14ac:dyDescent="0.35">
      <c r="B27" s="6" t="s">
        <v>140</v>
      </c>
      <c r="C27" s="50">
        <f>(C23+1)*C26</f>
        <v>211.25</v>
      </c>
      <c r="D27" s="40" t="s">
        <v>11</v>
      </c>
    </row>
    <row r="28" spans="2:4" x14ac:dyDescent="0.35">
      <c r="B28" s="6" t="s">
        <v>143</v>
      </c>
      <c r="C28" s="49">
        <f>C29-C26</f>
        <v>2.5</v>
      </c>
      <c r="D28" s="40" t="s">
        <v>11</v>
      </c>
    </row>
    <row r="29" spans="2:4" x14ac:dyDescent="0.35">
      <c r="B29" s="6" t="s">
        <v>144</v>
      </c>
      <c r="C29" s="50">
        <f>_xlfn.LET(_xlpm.x,C18/(C23+1),IF(_xlpm.x&lt;=C26,C26,IF(C22&lt;=0.1,_xlpm.x,MAX(C26+2.5,_xlpm.x))))</f>
        <v>5.75</v>
      </c>
      <c r="D29" s="40" t="s">
        <v>11</v>
      </c>
    </row>
    <row r="30" spans="2:4" x14ac:dyDescent="0.35">
      <c r="B30" s="6" t="s">
        <v>145</v>
      </c>
      <c r="C30" s="48">
        <f>C23+1</f>
        <v>65</v>
      </c>
      <c r="D30" s="40" t="s">
        <v>11</v>
      </c>
    </row>
    <row r="31" spans="2:4" ht="15" thickBot="1" x14ac:dyDescent="0.4">
      <c r="B31" s="7" t="s">
        <v>146</v>
      </c>
      <c r="C31" s="52">
        <f>C30*C29</f>
        <v>373.75</v>
      </c>
      <c r="D31" s="53" t="s">
        <v>114</v>
      </c>
    </row>
    <row r="32" spans="2:4" ht="15" thickBot="1" x14ac:dyDescent="0.4"/>
    <row r="33" spans="2:5" ht="19" thickBot="1" x14ac:dyDescent="0.4">
      <c r="B33" s="60" t="s">
        <v>49</v>
      </c>
      <c r="C33" s="61"/>
      <c r="D33" s="82"/>
    </row>
    <row r="34" spans="2:5" ht="15" thickBot="1" x14ac:dyDescent="0.4">
      <c r="B34" s="16" t="s">
        <v>44</v>
      </c>
      <c r="C34" s="17" t="s">
        <v>32</v>
      </c>
      <c r="D34" s="18" t="s">
        <v>33</v>
      </c>
    </row>
    <row r="35" spans="2:5" x14ac:dyDescent="0.35">
      <c r="B35" s="10" t="s">
        <v>46</v>
      </c>
      <c r="C35" s="11">
        <f>ROUNDUP((C23/8)*C24,0)</f>
        <v>32</v>
      </c>
      <c r="D35" s="39" t="s">
        <v>48</v>
      </c>
    </row>
    <row r="36" spans="2:5" x14ac:dyDescent="0.35">
      <c r="B36" s="6" t="s">
        <v>45</v>
      </c>
      <c r="C36" s="9">
        <f>ROUNDUP(C24/2,0)</f>
        <v>2</v>
      </c>
      <c r="D36" s="40" t="s">
        <v>48</v>
      </c>
    </row>
    <row r="37" spans="2:5" ht="15" thickBot="1" x14ac:dyDescent="0.4">
      <c r="B37" s="7" t="s">
        <v>47</v>
      </c>
      <c r="C37" s="14">
        <f>C36*4</f>
        <v>8</v>
      </c>
      <c r="D37" s="53" t="s">
        <v>48</v>
      </c>
    </row>
    <row r="39" spans="2:5" x14ac:dyDescent="0.35">
      <c r="B39" s="86" t="s">
        <v>150</v>
      </c>
      <c r="C39" s="86"/>
      <c r="D39" s="86"/>
      <c r="E39" s="86"/>
    </row>
    <row r="40" spans="2:5" x14ac:dyDescent="0.35">
      <c r="B40" s="86" t="s">
        <v>151</v>
      </c>
      <c r="C40" s="86"/>
      <c r="D40" s="86"/>
      <c r="E40" s="86"/>
    </row>
  </sheetData>
  <sheetProtection algorithmName="SHA-512" hashValue="8292O19Xlcn6SVwPvyri0SJAOFoyQZBCodhQbeh8e1TGk4QyqZvVYK1TkIwsVh6+ZSwZrtcKNTQ/Bx2G8xrtSA==" saltValue="vEpYDFj0h4TMT03ED8gdEQ==" spinCount="100000" sheet="1" objects="1" scenarios="1"/>
  <mergeCells count="11">
    <mergeCell ref="B14:D14"/>
    <mergeCell ref="B20:D20"/>
    <mergeCell ref="B33:D33"/>
    <mergeCell ref="B39:E39"/>
    <mergeCell ref="B40:E40"/>
    <mergeCell ref="B8:D8"/>
    <mergeCell ref="B2:E2"/>
    <mergeCell ref="C3:E3"/>
    <mergeCell ref="C4:E4"/>
    <mergeCell ref="C5:E5"/>
    <mergeCell ref="C6:E6"/>
  </mergeCells>
  <pageMargins left="0.7" right="0.7" top="0.75" bottom="0.75" header="0.3" footer="0.3"/>
  <pageSetup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887F656-F0CF-4404-A5DF-1BC37E1983FC}">
          <x14:formula1>
            <xm:f>Ref!$J$25:$J$46</xm:f>
          </x14:formula1>
          <xm:sqref>C23</xm:sqref>
        </x14:dataValidation>
        <x14:dataValidation type="list" allowBlank="1" showInputMessage="1" showErrorMessage="1" xr:uid="{FFD8E587-6B64-48DE-9C3F-86EB2FD7B641}">
          <x14:formula1>
            <xm:f>Ref!$B$20:$B$29</xm:f>
          </x14:formula1>
          <xm:sqref>C10</xm:sqref>
        </x14:dataValidation>
        <x14:dataValidation type="list" allowBlank="1" showInputMessage="1" showErrorMessage="1" xr:uid="{CF863A54-A8F6-4ED5-86C8-06A7FB00304A}">
          <x14:formula1>
            <xm:f>Ref!$K$25:$K$43</xm:f>
          </x14:formula1>
          <xm:sqref>C16</xm:sqref>
        </x14:dataValidation>
        <x14:dataValidation type="list" allowBlank="1" showInputMessage="1" showErrorMessage="1" xr:uid="{0904B576-77B7-4981-B9EE-C438B113FBC5}">
          <x14:formula1>
            <xm:f>Ref!$P$25:$P$39</xm:f>
          </x14:formula1>
          <xm:sqref>C22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5FD9-816E-4AFC-BD1B-9C92E6A4D372}">
  <dimension ref="B1:E46"/>
  <sheetViews>
    <sheetView showGridLines="0" workbookViewId="0">
      <selection activeCell="G21" sqref="G21"/>
    </sheetView>
  </sheetViews>
  <sheetFormatPr defaultRowHeight="14.5" x14ac:dyDescent="0.35"/>
  <cols>
    <col min="2" max="2" width="41.453125" style="30" bestFit="1" customWidth="1"/>
    <col min="4" max="4" width="8.7265625" bestFit="1" customWidth="1"/>
    <col min="5" max="5" width="27.26953125" bestFit="1" customWidth="1"/>
    <col min="10" max="10" width="16.54296875" bestFit="1" customWidth="1"/>
  </cols>
  <sheetData>
    <row r="1" spans="2:5" ht="15" thickBot="1" x14ac:dyDescent="0.4"/>
    <row r="2" spans="2:5" ht="19" thickBot="1" x14ac:dyDescent="0.4">
      <c r="B2" s="60" t="s">
        <v>51</v>
      </c>
      <c r="C2" s="61"/>
      <c r="D2" s="61"/>
      <c r="E2" s="61"/>
    </row>
    <row r="3" spans="2:5" x14ac:dyDescent="0.35">
      <c r="B3" s="8" t="s">
        <v>26</v>
      </c>
      <c r="C3" s="65"/>
      <c r="D3" s="65"/>
      <c r="E3" s="66"/>
    </row>
    <row r="4" spans="2:5" x14ac:dyDescent="0.35">
      <c r="B4" s="6" t="s">
        <v>27</v>
      </c>
      <c r="C4" s="67"/>
      <c r="D4" s="67"/>
      <c r="E4" s="68"/>
    </row>
    <row r="5" spans="2:5" x14ac:dyDescent="0.35">
      <c r="B5" s="6" t="s">
        <v>28</v>
      </c>
      <c r="C5" s="67"/>
      <c r="D5" s="67"/>
      <c r="E5" s="68"/>
    </row>
    <row r="6" spans="2:5" x14ac:dyDescent="0.35">
      <c r="B6" s="6" t="s">
        <v>29</v>
      </c>
      <c r="C6" s="67" t="s">
        <v>58</v>
      </c>
      <c r="D6" s="67"/>
      <c r="E6" s="68"/>
    </row>
    <row r="7" spans="2:5" ht="15" thickBot="1" x14ac:dyDescent="0.4">
      <c r="B7" s="7" t="s">
        <v>69</v>
      </c>
      <c r="C7" s="87" t="s">
        <v>74</v>
      </c>
      <c r="D7" s="88"/>
      <c r="E7" s="89"/>
    </row>
    <row r="8" spans="2:5" ht="15" thickBot="1" x14ac:dyDescent="0.4"/>
    <row r="9" spans="2:5" ht="18.75" customHeight="1" thickBot="1" x14ac:dyDescent="0.4">
      <c r="B9" s="62" t="s">
        <v>59</v>
      </c>
      <c r="C9" s="63"/>
      <c r="D9" s="63"/>
      <c r="E9" s="63"/>
    </row>
    <row r="10" spans="2:5" ht="15" thickBot="1" x14ac:dyDescent="0.4">
      <c r="B10" s="16" t="s">
        <v>31</v>
      </c>
      <c r="C10" s="17" t="s">
        <v>32</v>
      </c>
      <c r="D10" s="17" t="s">
        <v>33</v>
      </c>
      <c r="E10" s="18" t="s">
        <v>50</v>
      </c>
    </row>
    <row r="11" spans="2:5" x14ac:dyDescent="0.35">
      <c r="B11" s="8" t="s">
        <v>60</v>
      </c>
      <c r="C11" s="31"/>
      <c r="D11" s="31"/>
      <c r="E11" s="32"/>
    </row>
    <row r="12" spans="2:5" x14ac:dyDescent="0.35">
      <c r="B12" s="6" t="s">
        <v>17</v>
      </c>
      <c r="C12" s="23">
        <v>4</v>
      </c>
      <c r="D12" s="9"/>
      <c r="E12" s="13"/>
    </row>
    <row r="13" spans="2:5" x14ac:dyDescent="0.35">
      <c r="B13" s="6" t="s">
        <v>18</v>
      </c>
      <c r="C13" s="9">
        <f>C12*IFERROR(VLOOKUP($C$7,Ref!$AD$19:$AE$21,2,FALSE),0)</f>
        <v>600</v>
      </c>
      <c r="D13" s="9" t="s">
        <v>34</v>
      </c>
      <c r="E13" s="13"/>
    </row>
    <row r="14" spans="2:5" x14ac:dyDescent="0.35">
      <c r="B14" s="6" t="s">
        <v>61</v>
      </c>
      <c r="C14" s="23">
        <v>25</v>
      </c>
      <c r="D14" s="9" t="s">
        <v>67</v>
      </c>
      <c r="E14" s="13"/>
    </row>
    <row r="15" spans="2:5" x14ac:dyDescent="0.35">
      <c r="B15" s="6" t="s">
        <v>62</v>
      </c>
      <c r="C15" s="23">
        <v>36</v>
      </c>
      <c r="D15" s="9" t="s">
        <v>67</v>
      </c>
      <c r="E15" s="13" t="s">
        <v>63</v>
      </c>
    </row>
    <row r="16" spans="2:5" x14ac:dyDescent="0.35">
      <c r="B16" s="6" t="s">
        <v>64</v>
      </c>
      <c r="C16" s="23">
        <v>1.6</v>
      </c>
      <c r="D16" s="9" t="s">
        <v>91</v>
      </c>
      <c r="E16" s="13"/>
    </row>
    <row r="17" spans="2:5" x14ac:dyDescent="0.35">
      <c r="B17" s="6" t="s">
        <v>65</v>
      </c>
      <c r="C17" s="23" t="s">
        <v>68</v>
      </c>
      <c r="D17" s="9" t="s">
        <v>66</v>
      </c>
      <c r="E17" s="13"/>
    </row>
    <row r="18" spans="2:5" x14ac:dyDescent="0.35">
      <c r="B18" s="6" t="s">
        <v>70</v>
      </c>
      <c r="C18" s="23" t="s">
        <v>72</v>
      </c>
      <c r="D18" s="9"/>
      <c r="E18" s="13"/>
    </row>
    <row r="19" spans="2:5" x14ac:dyDescent="0.35">
      <c r="B19" s="6" t="s">
        <v>71</v>
      </c>
      <c r="C19" s="23" t="s">
        <v>72</v>
      </c>
      <c r="D19" s="9"/>
      <c r="E19" s="13"/>
    </row>
    <row r="20" spans="2:5" ht="29.5" thickBot="1" x14ac:dyDescent="0.4">
      <c r="B20" s="33" t="s">
        <v>73</v>
      </c>
      <c r="C20" s="34" t="s">
        <v>78</v>
      </c>
      <c r="D20" s="35"/>
      <c r="E20" s="36"/>
    </row>
    <row r="21" spans="2:5" ht="15" thickBot="1" x14ac:dyDescent="0.4">
      <c r="C21" s="1"/>
      <c r="D21" s="1"/>
    </row>
    <row r="22" spans="2:5" ht="19" thickBot="1" x14ac:dyDescent="0.4">
      <c r="B22" s="62" t="s">
        <v>79</v>
      </c>
      <c r="C22" s="63"/>
      <c r="D22" s="63"/>
      <c r="E22" s="63"/>
    </row>
    <row r="23" spans="2:5" ht="15" thickBot="1" x14ac:dyDescent="0.4">
      <c r="B23" s="16" t="s">
        <v>31</v>
      </c>
      <c r="C23" s="17" t="s">
        <v>32</v>
      </c>
      <c r="D23" s="17" t="s">
        <v>33</v>
      </c>
      <c r="E23" s="18" t="s">
        <v>50</v>
      </c>
    </row>
    <row r="24" spans="2:5" x14ac:dyDescent="0.35">
      <c r="B24" s="8" t="s">
        <v>35</v>
      </c>
      <c r="C24" s="31">
        <f>IFERROR(VLOOKUP($C$12,Ref!$AD$4:$AE$16,2,FALSE),"")</f>
        <v>320</v>
      </c>
      <c r="D24" s="31" t="s">
        <v>11</v>
      </c>
      <c r="E24" s="37"/>
    </row>
    <row r="25" spans="2:5" x14ac:dyDescent="0.35">
      <c r="B25" s="6" t="s">
        <v>80</v>
      </c>
      <c r="C25" s="9">
        <f>C13/C16</f>
        <v>375</v>
      </c>
      <c r="D25" s="9" t="s">
        <v>39</v>
      </c>
      <c r="E25" s="13"/>
    </row>
    <row r="26" spans="2:5" x14ac:dyDescent="0.35">
      <c r="B26" s="6" t="s">
        <v>21</v>
      </c>
      <c r="C26" s="23">
        <v>4</v>
      </c>
      <c r="D26" s="9"/>
      <c r="E26" s="13"/>
    </row>
    <row r="27" spans="2:5" x14ac:dyDescent="0.35">
      <c r="B27" s="6" t="s">
        <v>20</v>
      </c>
      <c r="C27" s="23">
        <v>80</v>
      </c>
      <c r="D27" s="9" t="s">
        <v>11</v>
      </c>
      <c r="E27" s="13"/>
    </row>
    <row r="28" spans="2:5" x14ac:dyDescent="0.35">
      <c r="B28" s="6" t="s">
        <v>40</v>
      </c>
      <c r="C28" s="9" t="str">
        <f>IF(C26*C27&gt;=C24,"Yes", "No")</f>
        <v>Yes</v>
      </c>
      <c r="D28" s="9"/>
      <c r="E28" s="13"/>
    </row>
    <row r="29" spans="2:5" x14ac:dyDescent="0.35">
      <c r="B29" s="6" t="s">
        <v>81</v>
      </c>
      <c r="C29" s="9">
        <f>IFERROR(VLOOKUP($C$26,Ref!$F:$H,2,FALSE),"")</f>
        <v>3.25</v>
      </c>
      <c r="D29" s="9" t="s">
        <v>11</v>
      </c>
      <c r="E29" s="13"/>
    </row>
    <row r="30" spans="2:5" x14ac:dyDescent="0.35">
      <c r="B30" s="6" t="s">
        <v>82</v>
      </c>
      <c r="C30" s="9">
        <f>C29*(C27+2)</f>
        <v>266.5</v>
      </c>
      <c r="D30" s="9" t="s">
        <v>39</v>
      </c>
      <c r="E30" s="13"/>
    </row>
    <row r="31" spans="2:5" ht="15" thickBot="1" x14ac:dyDescent="0.4">
      <c r="B31" s="7" t="s">
        <v>83</v>
      </c>
      <c r="C31" s="14" t="str">
        <f>IF(C30&gt;=C25,"Yes", "No")</f>
        <v>No</v>
      </c>
      <c r="D31" s="38"/>
      <c r="E31" s="15"/>
    </row>
    <row r="32" spans="2:5" ht="15" thickBot="1" x14ac:dyDescent="0.4"/>
    <row r="33" spans="2:5" ht="19" thickBot="1" x14ac:dyDescent="0.4">
      <c r="B33" s="62" t="s">
        <v>84</v>
      </c>
      <c r="C33" s="63"/>
      <c r="D33" s="63"/>
      <c r="E33" s="63"/>
    </row>
    <row r="34" spans="2:5" ht="15" thickBot="1" x14ac:dyDescent="0.4">
      <c r="B34" s="16" t="s">
        <v>31</v>
      </c>
      <c r="C34" s="17" t="s">
        <v>32</v>
      </c>
      <c r="D34" s="17" t="s">
        <v>33</v>
      </c>
      <c r="E34" s="18" t="s">
        <v>50</v>
      </c>
    </row>
    <row r="35" spans="2:5" x14ac:dyDescent="0.35">
      <c r="B35" s="10" t="s">
        <v>85</v>
      </c>
      <c r="C35" s="25">
        <f>IF($C$31="No",C25/(C27+2),"")</f>
        <v>4.5731707317073171</v>
      </c>
      <c r="D35" s="11" t="s">
        <v>11</v>
      </c>
      <c r="E35" s="39"/>
    </row>
    <row r="36" spans="2:5" x14ac:dyDescent="0.35">
      <c r="B36" s="6" t="s">
        <v>86</v>
      </c>
      <c r="C36" s="26">
        <f>IF($C$31="No",C35-C29,"")</f>
        <v>1.3231707317073171</v>
      </c>
      <c r="D36" s="9" t="s">
        <v>11</v>
      </c>
      <c r="E36" s="40"/>
    </row>
    <row r="37" spans="2:5" x14ac:dyDescent="0.35">
      <c r="B37" s="6" t="s">
        <v>89</v>
      </c>
      <c r="C37" s="26">
        <f>IF($C$31="No",C36/2,"")</f>
        <v>0.66158536585365857</v>
      </c>
      <c r="D37" s="9" t="s">
        <v>11</v>
      </c>
      <c r="E37" s="40" t="s">
        <v>87</v>
      </c>
    </row>
    <row r="38" spans="2:5" x14ac:dyDescent="0.35">
      <c r="B38" s="6" t="s">
        <v>88</v>
      </c>
      <c r="C38" s="26">
        <f>IF($C$31="No",(C37*2)+C29,"")</f>
        <v>4.5731707317073171</v>
      </c>
      <c r="D38" s="9" t="s">
        <v>11</v>
      </c>
      <c r="E38" s="40"/>
    </row>
    <row r="39" spans="2:5" x14ac:dyDescent="0.35">
      <c r="B39" s="6" t="s">
        <v>90</v>
      </c>
      <c r="C39" s="9">
        <f>IF($C$31="No",C38*(C27+2),"")</f>
        <v>375</v>
      </c>
      <c r="D39" s="9" t="s">
        <v>39</v>
      </c>
      <c r="E39" s="40"/>
    </row>
    <row r="40" spans="2:5" ht="15" thickBot="1" x14ac:dyDescent="0.4">
      <c r="B40" s="7" t="s">
        <v>83</v>
      </c>
      <c r="C40" s="14" t="str">
        <f>IF(C39&gt;=C25,"Yes", "No")</f>
        <v>Yes</v>
      </c>
      <c r="D40" s="38"/>
      <c r="E40" s="15"/>
    </row>
    <row r="41" spans="2:5" ht="15" thickBot="1" x14ac:dyDescent="0.4">
      <c r="C41" s="3"/>
      <c r="D41" s="1"/>
      <c r="E41" s="1"/>
    </row>
    <row r="42" spans="2:5" ht="19" thickBot="1" x14ac:dyDescent="0.4">
      <c r="B42" s="62" t="s">
        <v>49</v>
      </c>
      <c r="C42" s="63"/>
      <c r="D42" s="63"/>
      <c r="E42" s="63"/>
    </row>
    <row r="43" spans="2:5" ht="15" thickBot="1" x14ac:dyDescent="0.4">
      <c r="B43" s="16" t="s">
        <v>44</v>
      </c>
      <c r="C43" s="17" t="s">
        <v>32</v>
      </c>
      <c r="D43" s="17" t="s">
        <v>33</v>
      </c>
      <c r="E43" s="18" t="s">
        <v>50</v>
      </c>
    </row>
    <row r="44" spans="2:5" x14ac:dyDescent="0.35">
      <c r="B44" s="10" t="s">
        <v>46</v>
      </c>
      <c r="C44" s="24">
        <f>(C27/8)*C26</f>
        <v>40</v>
      </c>
      <c r="D44" s="11" t="s">
        <v>48</v>
      </c>
      <c r="E44" s="12"/>
    </row>
    <row r="45" spans="2:5" x14ac:dyDescent="0.35">
      <c r="B45" s="6" t="s">
        <v>45</v>
      </c>
      <c r="C45" s="9">
        <f>C26/2</f>
        <v>2</v>
      </c>
      <c r="D45" s="9" t="s">
        <v>48</v>
      </c>
      <c r="E45" s="13"/>
    </row>
    <row r="46" spans="2:5" ht="15" thickBot="1" x14ac:dyDescent="0.4">
      <c r="B46" s="7" t="s">
        <v>47</v>
      </c>
      <c r="C46" s="14">
        <f>(C45*2)+2</f>
        <v>6</v>
      </c>
      <c r="D46" s="14" t="s">
        <v>48</v>
      </c>
      <c r="E46" s="15"/>
    </row>
  </sheetData>
  <mergeCells count="10">
    <mergeCell ref="B42:E42"/>
    <mergeCell ref="B2:E2"/>
    <mergeCell ref="C3:E3"/>
    <mergeCell ref="C4:E4"/>
    <mergeCell ref="C5:E5"/>
    <mergeCell ref="C6:E6"/>
    <mergeCell ref="B9:E9"/>
    <mergeCell ref="B22:E22"/>
    <mergeCell ref="C7:E7"/>
    <mergeCell ref="B33:E3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DDEF884-CA75-44A3-8E66-1E6E8D41BC88}">
          <x14:formula1>
            <xm:f>Ref!$AD$19:$AD$21</xm:f>
          </x14:formula1>
          <xm:sqref>C7:E7</xm:sqref>
        </x14:dataValidation>
        <x14:dataValidation type="list" allowBlank="1" showInputMessage="1" showErrorMessage="1" xr:uid="{747724B7-4799-454D-882F-B21708DA9AF0}">
          <x14:formula1>
            <xm:f>Ref!$AB$7:$AB$8</xm:f>
          </x14:formula1>
          <xm:sqref>C20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4F3C-8DC4-4B3A-B682-1F8EA1A532E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AEAFF-C6BD-4C4E-83FD-6D6C34315D09}">
  <dimension ref="A1:AE48"/>
  <sheetViews>
    <sheetView topLeftCell="A7" workbookViewId="0">
      <selection activeCell="U34" sqref="U34"/>
    </sheetView>
  </sheetViews>
  <sheetFormatPr defaultRowHeight="14.5" x14ac:dyDescent="0.35"/>
  <cols>
    <col min="1" max="1" width="0.81640625" customWidth="1"/>
    <col min="2" max="2" width="10" bestFit="1" customWidth="1"/>
    <col min="3" max="3" width="15.81640625" bestFit="1" customWidth="1"/>
    <col min="4" max="4" width="2.7265625" customWidth="1"/>
    <col min="5" max="5" width="9.7265625" bestFit="1" customWidth="1"/>
    <col min="6" max="6" width="9.1796875" bestFit="1" customWidth="1"/>
    <col min="7" max="8" width="13.54296875" customWidth="1"/>
    <col min="9" max="9" width="1.453125" customWidth="1"/>
    <col min="11" max="11" width="20" bestFit="1" customWidth="1"/>
    <col min="12" max="12" width="10.81640625" bestFit="1" customWidth="1"/>
    <col min="25" max="25" width="6.453125" bestFit="1" customWidth="1"/>
    <col min="26" max="26" width="1.7265625" customWidth="1"/>
    <col min="27" max="27" width="9.1796875" style="1"/>
    <col min="28" max="28" width="35.54296875" bestFit="1" customWidth="1"/>
    <col min="30" max="30" width="21.81640625" bestFit="1" customWidth="1"/>
    <col min="31" max="31" width="16.54296875" bestFit="1" customWidth="1"/>
  </cols>
  <sheetData>
    <row r="1" spans="1:31" x14ac:dyDescent="0.35">
      <c r="B1" s="27" t="s">
        <v>53</v>
      </c>
      <c r="F1" s="27" t="s">
        <v>93</v>
      </c>
      <c r="I1" s="27"/>
      <c r="J1" s="27"/>
    </row>
    <row r="2" spans="1:31" s="2" customFormat="1" x14ac:dyDescent="0.35">
      <c r="A2" s="27"/>
      <c r="B2" s="2" t="s">
        <v>2</v>
      </c>
      <c r="C2" s="2">
        <v>40</v>
      </c>
      <c r="F2" s="2" t="s">
        <v>16</v>
      </c>
      <c r="G2" s="2">
        <v>0.69</v>
      </c>
      <c r="H2" s="2">
        <v>8.3000000000000007</v>
      </c>
      <c r="M2" s="90" t="s">
        <v>3</v>
      </c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AA2" s="1" t="s">
        <v>53</v>
      </c>
      <c r="AB2" s="1" t="s">
        <v>19</v>
      </c>
      <c r="AD2" t="s">
        <v>58</v>
      </c>
      <c r="AE2"/>
    </row>
    <row r="3" spans="1:31" s="2" customFormat="1" x14ac:dyDescent="0.35">
      <c r="A3" s="27"/>
      <c r="B3" s="2" t="s">
        <v>0</v>
      </c>
      <c r="C3" s="2" t="s">
        <v>1</v>
      </c>
      <c r="F3" s="2" t="s">
        <v>12</v>
      </c>
      <c r="G3" s="2" t="s">
        <v>13</v>
      </c>
      <c r="H3" s="2" t="s">
        <v>14</v>
      </c>
      <c r="K3" s="2" t="s">
        <v>2</v>
      </c>
      <c r="M3" s="2">
        <v>1</v>
      </c>
      <c r="N3" s="2">
        <v>2</v>
      </c>
      <c r="O3" s="2">
        <v>3</v>
      </c>
      <c r="P3" s="2">
        <v>4</v>
      </c>
      <c r="Q3" s="2">
        <v>5</v>
      </c>
      <c r="R3" s="2">
        <v>6</v>
      </c>
      <c r="S3" s="2">
        <v>7</v>
      </c>
      <c r="T3" s="2">
        <v>8</v>
      </c>
      <c r="U3" s="2">
        <v>9</v>
      </c>
      <c r="V3" s="2">
        <v>10</v>
      </c>
      <c r="W3" s="2">
        <v>11</v>
      </c>
      <c r="X3" s="2">
        <v>12</v>
      </c>
      <c r="AA3" s="1" t="s">
        <v>54</v>
      </c>
      <c r="AB3" s="1" t="s">
        <v>55</v>
      </c>
      <c r="AD3" s="2" t="s">
        <v>2</v>
      </c>
      <c r="AE3" s="2">
        <v>80</v>
      </c>
    </row>
    <row r="4" spans="1:31" x14ac:dyDescent="0.35">
      <c r="A4" s="27"/>
      <c r="B4" s="1">
        <v>1</v>
      </c>
      <c r="C4" s="1">
        <v>80</v>
      </c>
      <c r="F4" s="1">
        <v>1</v>
      </c>
      <c r="G4" s="3">
        <v>1.19</v>
      </c>
      <c r="H4" s="4">
        <v>14.25</v>
      </c>
      <c r="I4" s="1"/>
      <c r="J4" s="1"/>
      <c r="K4" s="1">
        <v>30</v>
      </c>
      <c r="L4" s="2" t="s">
        <v>4</v>
      </c>
      <c r="M4" s="5">
        <v>89</v>
      </c>
      <c r="N4" s="5">
        <v>118</v>
      </c>
      <c r="O4" s="5">
        <v>148</v>
      </c>
      <c r="P4" s="5">
        <v>177</v>
      </c>
      <c r="Q4" s="5">
        <v>206</v>
      </c>
      <c r="R4" s="5">
        <f t="shared" ref="R4:X4" si="0">Q4+$K4</f>
        <v>236</v>
      </c>
      <c r="S4" s="5">
        <f t="shared" si="0"/>
        <v>266</v>
      </c>
      <c r="T4" s="5">
        <f t="shared" si="0"/>
        <v>296</v>
      </c>
      <c r="U4" s="5">
        <f t="shared" si="0"/>
        <v>326</v>
      </c>
      <c r="V4" s="5">
        <f t="shared" si="0"/>
        <v>356</v>
      </c>
      <c r="W4" s="5">
        <f t="shared" si="0"/>
        <v>386</v>
      </c>
      <c r="X4" s="5">
        <f t="shared" si="0"/>
        <v>416</v>
      </c>
      <c r="AA4" s="1" t="s">
        <v>92</v>
      </c>
      <c r="AB4" s="1" t="s">
        <v>113</v>
      </c>
      <c r="AD4" s="2" t="s">
        <v>0</v>
      </c>
      <c r="AE4" s="2" t="s">
        <v>1</v>
      </c>
    </row>
    <row r="5" spans="1:31" x14ac:dyDescent="0.35">
      <c r="A5" s="27"/>
      <c r="B5" s="1">
        <v>2</v>
      </c>
      <c r="C5" s="1">
        <v>160</v>
      </c>
      <c r="F5" s="1">
        <v>2</v>
      </c>
      <c r="G5" s="3">
        <v>1.88</v>
      </c>
      <c r="H5" s="4">
        <v>22.5</v>
      </c>
      <c r="I5" s="1"/>
      <c r="J5" s="1"/>
      <c r="K5" s="1">
        <v>42</v>
      </c>
      <c r="L5" s="2" t="s">
        <v>5</v>
      </c>
      <c r="M5" s="5">
        <v>125</v>
      </c>
      <c r="N5" s="5">
        <v>167</v>
      </c>
      <c r="O5" s="5">
        <v>209</v>
      </c>
      <c r="P5" s="5">
        <v>250</v>
      </c>
      <c r="Q5" s="5">
        <v>292</v>
      </c>
      <c r="R5" s="5">
        <f t="shared" ref="R5:X5" si="1">Q5+$K5</f>
        <v>334</v>
      </c>
      <c r="S5" s="5">
        <f t="shared" si="1"/>
        <v>376</v>
      </c>
      <c r="T5" s="5">
        <f t="shared" si="1"/>
        <v>418</v>
      </c>
      <c r="U5" s="5">
        <f t="shared" si="1"/>
        <v>460</v>
      </c>
      <c r="V5" s="5">
        <f t="shared" si="1"/>
        <v>502</v>
      </c>
      <c r="W5" s="5">
        <f t="shared" si="1"/>
        <v>544</v>
      </c>
      <c r="X5" s="5">
        <f t="shared" si="1"/>
        <v>586</v>
      </c>
      <c r="AD5" s="1">
        <v>1</v>
      </c>
      <c r="AE5" s="1">
        <v>160</v>
      </c>
    </row>
    <row r="6" spans="1:31" x14ac:dyDescent="0.35">
      <c r="A6" s="27"/>
      <c r="B6" s="1">
        <v>3</v>
      </c>
      <c r="C6" s="1">
        <v>240</v>
      </c>
      <c r="F6" s="1">
        <v>3</v>
      </c>
      <c r="G6" s="3">
        <v>2.57</v>
      </c>
      <c r="H6" s="4">
        <v>30.8</v>
      </c>
      <c r="I6" s="1"/>
      <c r="J6" s="1"/>
      <c r="K6" s="1">
        <v>50</v>
      </c>
      <c r="L6" s="2" t="s">
        <v>6</v>
      </c>
      <c r="M6" s="5">
        <v>150</v>
      </c>
      <c r="N6" s="5">
        <v>200</v>
      </c>
      <c r="O6" s="5">
        <v>250</v>
      </c>
      <c r="P6" s="5">
        <v>300</v>
      </c>
      <c r="Q6" s="5">
        <v>350</v>
      </c>
      <c r="R6" s="5">
        <f t="shared" ref="R6:X6" si="2">Q6+$K6</f>
        <v>400</v>
      </c>
      <c r="S6" s="5">
        <f t="shared" si="2"/>
        <v>450</v>
      </c>
      <c r="T6" s="5">
        <f t="shared" si="2"/>
        <v>500</v>
      </c>
      <c r="U6" s="5">
        <f t="shared" si="2"/>
        <v>550</v>
      </c>
      <c r="V6" s="5">
        <f t="shared" si="2"/>
        <v>600</v>
      </c>
      <c r="W6" s="5">
        <f t="shared" si="2"/>
        <v>650</v>
      </c>
      <c r="X6" s="5">
        <f t="shared" si="2"/>
        <v>700</v>
      </c>
      <c r="AD6" s="1">
        <v>2</v>
      </c>
      <c r="AE6" s="1">
        <v>160</v>
      </c>
    </row>
    <row r="7" spans="1:31" x14ac:dyDescent="0.35">
      <c r="A7" s="27"/>
      <c r="B7" s="1">
        <v>4</v>
      </c>
      <c r="C7" s="1">
        <v>280</v>
      </c>
      <c r="F7" s="1">
        <v>4</v>
      </c>
      <c r="G7" s="3">
        <v>3.25</v>
      </c>
      <c r="H7" s="4">
        <v>39</v>
      </c>
      <c r="I7" s="1"/>
      <c r="J7" s="1"/>
      <c r="K7" s="1">
        <v>63</v>
      </c>
      <c r="L7" s="2" t="s">
        <v>7</v>
      </c>
      <c r="M7" s="5">
        <v>188</v>
      </c>
      <c r="N7" s="5">
        <v>250</v>
      </c>
      <c r="O7" s="5">
        <v>313</v>
      </c>
      <c r="P7" s="5">
        <v>375</v>
      </c>
      <c r="Q7" s="5">
        <v>438</v>
      </c>
      <c r="R7" s="5">
        <f t="shared" ref="R7:X7" si="3">Q7+$K7</f>
        <v>501</v>
      </c>
      <c r="S7" s="5">
        <f t="shared" si="3"/>
        <v>564</v>
      </c>
      <c r="T7" s="5">
        <f t="shared" si="3"/>
        <v>627</v>
      </c>
      <c r="U7" s="5">
        <f t="shared" si="3"/>
        <v>690</v>
      </c>
      <c r="V7" s="5">
        <f t="shared" si="3"/>
        <v>753</v>
      </c>
      <c r="W7" s="5">
        <f t="shared" si="3"/>
        <v>816</v>
      </c>
      <c r="X7" s="5">
        <f t="shared" si="3"/>
        <v>879</v>
      </c>
      <c r="Y7" s="27" t="s">
        <v>53</v>
      </c>
      <c r="AB7" t="s">
        <v>77</v>
      </c>
      <c r="AD7" s="1">
        <v>3</v>
      </c>
      <c r="AE7" s="1">
        <v>240</v>
      </c>
    </row>
    <row r="8" spans="1:31" x14ac:dyDescent="0.35">
      <c r="A8" s="27"/>
      <c r="B8" s="1">
        <v>5</v>
      </c>
      <c r="C8" s="1">
        <v>320</v>
      </c>
      <c r="F8" s="1">
        <v>5</v>
      </c>
      <c r="G8" s="3">
        <v>3.94</v>
      </c>
      <c r="H8" s="4">
        <v>47.2</v>
      </c>
      <c r="I8" s="1"/>
      <c r="J8" s="1"/>
      <c r="K8" s="1">
        <v>84</v>
      </c>
      <c r="L8" s="2" t="s">
        <v>8</v>
      </c>
      <c r="M8" s="5">
        <v>250</v>
      </c>
      <c r="N8" s="5">
        <v>334</v>
      </c>
      <c r="O8" s="5">
        <v>417</v>
      </c>
      <c r="P8" s="5">
        <v>500</v>
      </c>
      <c r="Q8" s="5">
        <v>584</v>
      </c>
      <c r="R8" s="5">
        <f t="shared" ref="R8:X8" si="4">Q8+$K8</f>
        <v>668</v>
      </c>
      <c r="S8" s="5">
        <f t="shared" si="4"/>
        <v>752</v>
      </c>
      <c r="T8" s="5">
        <f t="shared" si="4"/>
        <v>836</v>
      </c>
      <c r="U8" s="5">
        <f t="shared" si="4"/>
        <v>920</v>
      </c>
      <c r="V8" s="5">
        <f t="shared" si="4"/>
        <v>1004</v>
      </c>
      <c r="W8" s="5">
        <f t="shared" si="4"/>
        <v>1088</v>
      </c>
      <c r="X8" s="5">
        <f t="shared" si="4"/>
        <v>1172</v>
      </c>
      <c r="AB8" t="s">
        <v>78</v>
      </c>
      <c r="AD8" s="1">
        <v>4</v>
      </c>
      <c r="AE8" s="1">
        <v>320</v>
      </c>
    </row>
    <row r="9" spans="1:31" x14ac:dyDescent="0.35">
      <c r="A9" s="27"/>
      <c r="B9" s="1">
        <v>6</v>
      </c>
      <c r="C9" s="1">
        <f>C8+$C$2</f>
        <v>360</v>
      </c>
      <c r="F9" s="1">
        <v>6</v>
      </c>
      <c r="G9" s="3">
        <v>4.63</v>
      </c>
      <c r="H9" s="4">
        <v>55.5</v>
      </c>
      <c r="I9" s="1"/>
      <c r="J9" s="1"/>
      <c r="K9" s="1">
        <v>125</v>
      </c>
      <c r="L9" s="2" t="s">
        <v>9</v>
      </c>
      <c r="M9" s="5">
        <v>375</v>
      </c>
      <c r="N9" s="5">
        <v>500</v>
      </c>
      <c r="O9" s="5">
        <v>625</v>
      </c>
      <c r="P9" s="5">
        <v>750</v>
      </c>
      <c r="Q9" s="5">
        <v>875</v>
      </c>
      <c r="R9" s="5">
        <f t="shared" ref="R9:X9" si="5">Q9+$K9</f>
        <v>1000</v>
      </c>
      <c r="S9" s="5">
        <f t="shared" si="5"/>
        <v>1125</v>
      </c>
      <c r="T9" s="5">
        <f t="shared" si="5"/>
        <v>1250</v>
      </c>
      <c r="U9" s="5">
        <f t="shared" si="5"/>
        <v>1375</v>
      </c>
      <c r="V9" s="5">
        <f t="shared" si="5"/>
        <v>1500</v>
      </c>
      <c r="W9" s="5">
        <f t="shared" si="5"/>
        <v>1625</v>
      </c>
      <c r="X9" s="5">
        <f t="shared" si="5"/>
        <v>1750</v>
      </c>
      <c r="AD9" s="1">
        <v>5</v>
      </c>
      <c r="AE9" s="1">
        <v>400</v>
      </c>
    </row>
    <row r="10" spans="1:31" x14ac:dyDescent="0.35">
      <c r="A10" s="27"/>
      <c r="B10" s="1">
        <v>7</v>
      </c>
      <c r="C10" s="1">
        <f t="shared" ref="C10:C15" si="6">C9+$C$2</f>
        <v>400</v>
      </c>
      <c r="F10" s="1">
        <v>7</v>
      </c>
      <c r="G10" s="3">
        <v>5.32</v>
      </c>
      <c r="H10" s="4">
        <v>63.8</v>
      </c>
      <c r="I10" s="1"/>
      <c r="J10" s="1"/>
      <c r="K10" s="1">
        <v>167</v>
      </c>
      <c r="L10" s="2" t="s">
        <v>10</v>
      </c>
      <c r="M10" s="5">
        <v>500</v>
      </c>
      <c r="N10" s="5">
        <v>667</v>
      </c>
      <c r="O10" s="5">
        <v>834</v>
      </c>
      <c r="P10" s="5">
        <v>1000</v>
      </c>
      <c r="Q10" s="5">
        <v>1167</v>
      </c>
      <c r="R10" s="5">
        <f t="shared" ref="R10:X10" si="7">Q10+$K10</f>
        <v>1334</v>
      </c>
      <c r="S10" s="5">
        <f t="shared" si="7"/>
        <v>1501</v>
      </c>
      <c r="T10" s="5">
        <f t="shared" si="7"/>
        <v>1668</v>
      </c>
      <c r="U10" s="5">
        <f t="shared" si="7"/>
        <v>1835</v>
      </c>
      <c r="V10" s="5">
        <f t="shared" si="7"/>
        <v>2002</v>
      </c>
      <c r="W10" s="5">
        <f t="shared" si="7"/>
        <v>2169</v>
      </c>
      <c r="X10" s="5">
        <f t="shared" si="7"/>
        <v>2336</v>
      </c>
      <c r="AD10" s="1">
        <v>6</v>
      </c>
      <c r="AE10" s="1">
        <f t="shared" ref="AE10:AE16" si="8">AE9+$AE$3</f>
        <v>480</v>
      </c>
    </row>
    <row r="11" spans="1:31" x14ac:dyDescent="0.35">
      <c r="A11" s="27"/>
      <c r="B11" s="1">
        <v>8</v>
      </c>
      <c r="C11" s="1">
        <f t="shared" si="6"/>
        <v>440</v>
      </c>
      <c r="F11" s="1">
        <v>8</v>
      </c>
      <c r="G11" s="3">
        <v>6</v>
      </c>
      <c r="H11" s="4">
        <v>72</v>
      </c>
      <c r="I11" s="28"/>
      <c r="J11" s="28"/>
      <c r="L11" s="28"/>
      <c r="M11" s="90" t="s">
        <v>57</v>
      </c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AD11" s="1">
        <v>7</v>
      </c>
      <c r="AE11" s="1">
        <f t="shared" si="8"/>
        <v>560</v>
      </c>
    </row>
    <row r="12" spans="1:31" x14ac:dyDescent="0.35">
      <c r="A12" s="27"/>
      <c r="B12" s="1">
        <v>9</v>
      </c>
      <c r="C12" s="1">
        <f t="shared" si="6"/>
        <v>480</v>
      </c>
      <c r="E12" s="91" t="s">
        <v>15</v>
      </c>
      <c r="F12" s="1">
        <v>9</v>
      </c>
      <c r="G12" s="3">
        <v>6.69</v>
      </c>
      <c r="H12" s="4">
        <v>80.2</v>
      </c>
      <c r="I12" s="28"/>
      <c r="J12" s="2" t="s">
        <v>2</v>
      </c>
      <c r="K12" s="2" t="s">
        <v>56</v>
      </c>
      <c r="L12" s="2"/>
      <c r="M12" s="2">
        <v>1</v>
      </c>
      <c r="N12" s="2">
        <v>2</v>
      </c>
      <c r="O12" s="2">
        <v>3</v>
      </c>
      <c r="P12" s="2">
        <v>4</v>
      </c>
      <c r="Q12" s="2">
        <v>5</v>
      </c>
      <c r="R12" s="2">
        <v>6</v>
      </c>
      <c r="S12" s="2">
        <v>7</v>
      </c>
      <c r="T12" s="2">
        <v>8</v>
      </c>
      <c r="U12" s="2">
        <v>9</v>
      </c>
      <c r="V12" s="2">
        <v>10</v>
      </c>
      <c r="W12" s="2">
        <v>11</v>
      </c>
      <c r="X12" s="2">
        <v>12</v>
      </c>
      <c r="AD12" s="1">
        <v>8</v>
      </c>
      <c r="AE12" s="1">
        <f t="shared" si="8"/>
        <v>640</v>
      </c>
    </row>
    <row r="13" spans="1:31" x14ac:dyDescent="0.35">
      <c r="A13" s="27"/>
      <c r="B13" s="1">
        <v>10</v>
      </c>
      <c r="C13" s="1">
        <f t="shared" si="6"/>
        <v>520</v>
      </c>
      <c r="E13" s="91"/>
      <c r="F13" s="1">
        <v>10</v>
      </c>
      <c r="G13" s="3">
        <v>7.38</v>
      </c>
      <c r="H13" s="4">
        <v>88.5</v>
      </c>
      <c r="J13" s="5">
        <v>108</v>
      </c>
      <c r="K13" s="29">
        <v>0.84</v>
      </c>
      <c r="L13" s="5">
        <v>1</v>
      </c>
      <c r="M13" s="5">
        <v>108</v>
      </c>
      <c r="N13" s="5">
        <v>215</v>
      </c>
      <c r="O13" s="5">
        <v>322</v>
      </c>
      <c r="P13" s="5">
        <v>429</v>
      </c>
      <c r="Q13" s="5">
        <v>536</v>
      </c>
      <c r="R13" s="5">
        <f t="shared" ref="R13:X21" si="9">Q13+$J13</f>
        <v>644</v>
      </c>
      <c r="S13" s="5">
        <f t="shared" si="9"/>
        <v>752</v>
      </c>
      <c r="T13" s="5">
        <f t="shared" si="9"/>
        <v>860</v>
      </c>
      <c r="U13" s="5">
        <f t="shared" si="9"/>
        <v>968</v>
      </c>
      <c r="V13" s="5">
        <f t="shared" si="9"/>
        <v>1076</v>
      </c>
      <c r="W13" s="5">
        <f t="shared" si="9"/>
        <v>1184</v>
      </c>
      <c r="X13" s="5">
        <f t="shared" si="9"/>
        <v>1292</v>
      </c>
      <c r="AD13" s="1">
        <v>9</v>
      </c>
      <c r="AE13" s="1">
        <f t="shared" si="8"/>
        <v>720</v>
      </c>
    </row>
    <row r="14" spans="1:31" x14ac:dyDescent="0.35">
      <c r="A14" s="27"/>
      <c r="B14" s="1">
        <v>11</v>
      </c>
      <c r="C14" s="1">
        <f t="shared" si="6"/>
        <v>560</v>
      </c>
      <c r="E14" s="91"/>
      <c r="F14" s="1">
        <v>11</v>
      </c>
      <c r="G14" s="3">
        <v>8.07</v>
      </c>
      <c r="H14" s="4">
        <v>96.8</v>
      </c>
      <c r="J14" s="5">
        <v>81</v>
      </c>
      <c r="K14" s="29">
        <v>1.1200000000000001</v>
      </c>
      <c r="L14" s="5">
        <v>2</v>
      </c>
      <c r="M14" s="5">
        <v>81</v>
      </c>
      <c r="N14" s="5">
        <v>161</v>
      </c>
      <c r="O14" s="5">
        <v>242</v>
      </c>
      <c r="P14" s="5">
        <v>322</v>
      </c>
      <c r="Q14" s="5">
        <v>402</v>
      </c>
      <c r="R14" s="5">
        <f t="shared" si="9"/>
        <v>483</v>
      </c>
      <c r="S14" s="5">
        <f t="shared" si="9"/>
        <v>564</v>
      </c>
      <c r="T14" s="5">
        <f t="shared" si="9"/>
        <v>645</v>
      </c>
      <c r="U14" s="5">
        <f t="shared" si="9"/>
        <v>726</v>
      </c>
      <c r="V14" s="5">
        <f t="shared" si="9"/>
        <v>807</v>
      </c>
      <c r="W14" s="5">
        <f t="shared" si="9"/>
        <v>888</v>
      </c>
      <c r="X14" s="5">
        <f t="shared" si="9"/>
        <v>969</v>
      </c>
      <c r="AD14" s="1">
        <v>10</v>
      </c>
      <c r="AE14" s="1">
        <f t="shared" si="8"/>
        <v>800</v>
      </c>
    </row>
    <row r="15" spans="1:31" x14ac:dyDescent="0.35">
      <c r="A15" s="27"/>
      <c r="B15" s="1">
        <v>12</v>
      </c>
      <c r="C15" s="1">
        <f t="shared" si="6"/>
        <v>600</v>
      </c>
      <c r="E15" s="91"/>
      <c r="F15" s="1">
        <v>12</v>
      </c>
      <c r="G15" s="3">
        <v>8.75</v>
      </c>
      <c r="H15" s="4">
        <v>105</v>
      </c>
      <c r="J15" s="5">
        <v>81</v>
      </c>
      <c r="K15" s="29">
        <v>1.1200000000000001</v>
      </c>
      <c r="L15" s="5">
        <v>3</v>
      </c>
      <c r="M15" s="5">
        <v>81</v>
      </c>
      <c r="N15" s="5">
        <v>161</v>
      </c>
      <c r="O15" s="5">
        <v>242</v>
      </c>
      <c r="P15" s="5">
        <v>322</v>
      </c>
      <c r="Q15" s="5">
        <v>402</v>
      </c>
      <c r="R15" s="5">
        <f t="shared" si="9"/>
        <v>483</v>
      </c>
      <c r="S15" s="5">
        <f t="shared" si="9"/>
        <v>564</v>
      </c>
      <c r="T15" s="5">
        <f t="shared" si="9"/>
        <v>645</v>
      </c>
      <c r="U15" s="5">
        <f t="shared" si="9"/>
        <v>726</v>
      </c>
      <c r="V15" s="5">
        <f t="shared" si="9"/>
        <v>807</v>
      </c>
      <c r="W15" s="5">
        <f t="shared" si="9"/>
        <v>888</v>
      </c>
      <c r="X15" s="5">
        <f t="shared" si="9"/>
        <v>969</v>
      </c>
      <c r="AD15" s="1">
        <v>11</v>
      </c>
      <c r="AE15" s="1">
        <f t="shared" si="8"/>
        <v>880</v>
      </c>
    </row>
    <row r="16" spans="1:31" x14ac:dyDescent="0.35">
      <c r="A16" s="27"/>
      <c r="E16" s="91"/>
      <c r="F16" s="1">
        <v>13</v>
      </c>
      <c r="G16" s="3">
        <f>G15+$G$2</f>
        <v>9.44</v>
      </c>
      <c r="H16" s="4">
        <f>H15+$H$2</f>
        <v>113.3</v>
      </c>
      <c r="J16" s="5">
        <v>68</v>
      </c>
      <c r="K16" s="29">
        <v>1.34</v>
      </c>
      <c r="L16" s="5">
        <v>4</v>
      </c>
      <c r="M16" s="5">
        <v>68</v>
      </c>
      <c r="N16" s="5">
        <v>135</v>
      </c>
      <c r="O16" s="5">
        <v>202</v>
      </c>
      <c r="P16" s="5">
        <v>269</v>
      </c>
      <c r="Q16" s="5">
        <v>336</v>
      </c>
      <c r="R16" s="5">
        <f t="shared" si="9"/>
        <v>404</v>
      </c>
      <c r="S16" s="5">
        <f t="shared" si="9"/>
        <v>472</v>
      </c>
      <c r="T16" s="5">
        <f t="shared" si="9"/>
        <v>540</v>
      </c>
      <c r="U16" s="5">
        <f t="shared" si="9"/>
        <v>608</v>
      </c>
      <c r="V16" s="5">
        <f t="shared" si="9"/>
        <v>676</v>
      </c>
      <c r="W16" s="5">
        <f t="shared" si="9"/>
        <v>744</v>
      </c>
      <c r="X16" s="5">
        <f t="shared" si="9"/>
        <v>812</v>
      </c>
      <c r="Y16" s="27" t="s">
        <v>54</v>
      </c>
      <c r="AD16" s="1">
        <v>12</v>
      </c>
      <c r="AE16" s="1">
        <f t="shared" si="8"/>
        <v>960</v>
      </c>
    </row>
    <row r="17" spans="1:31" x14ac:dyDescent="0.35">
      <c r="A17" s="27"/>
      <c r="B17" t="s">
        <v>112</v>
      </c>
      <c r="E17" s="91"/>
      <c r="F17" s="1">
        <v>14</v>
      </c>
      <c r="G17" s="3">
        <f t="shared" ref="G17:G23" si="10">G16+$G$2</f>
        <v>10.129999999999999</v>
      </c>
      <c r="H17" s="4">
        <f t="shared" ref="H17:H23" si="11">H16+$H$2</f>
        <v>121.6</v>
      </c>
      <c r="J17" s="5">
        <v>68</v>
      </c>
      <c r="K17" s="29">
        <v>1.34</v>
      </c>
      <c r="L17" s="5">
        <v>5</v>
      </c>
      <c r="M17" s="5">
        <v>68</v>
      </c>
      <c r="N17" s="5">
        <v>135</v>
      </c>
      <c r="O17" s="5">
        <v>202</v>
      </c>
      <c r="P17" s="5">
        <v>269</v>
      </c>
      <c r="Q17" s="5">
        <v>336</v>
      </c>
      <c r="R17" s="5">
        <f t="shared" si="9"/>
        <v>404</v>
      </c>
      <c r="S17" s="5">
        <f t="shared" si="9"/>
        <v>472</v>
      </c>
      <c r="T17" s="5">
        <f t="shared" si="9"/>
        <v>540</v>
      </c>
      <c r="U17" s="5">
        <f t="shared" si="9"/>
        <v>608</v>
      </c>
      <c r="V17" s="5">
        <f t="shared" si="9"/>
        <v>676</v>
      </c>
      <c r="W17" s="5">
        <f t="shared" si="9"/>
        <v>744</v>
      </c>
      <c r="X17" s="5">
        <f t="shared" si="9"/>
        <v>812</v>
      </c>
    </row>
    <row r="18" spans="1:31" x14ac:dyDescent="0.35">
      <c r="A18" s="27"/>
      <c r="B18" s="2" t="s">
        <v>2</v>
      </c>
      <c r="C18" s="2">
        <v>80</v>
      </c>
      <c r="E18" s="91"/>
      <c r="F18" s="1">
        <v>15</v>
      </c>
      <c r="G18" s="3">
        <f t="shared" si="10"/>
        <v>10.819999999999999</v>
      </c>
      <c r="H18" s="4">
        <f t="shared" si="11"/>
        <v>129.9</v>
      </c>
      <c r="J18" s="5">
        <v>68</v>
      </c>
      <c r="K18" s="29">
        <v>1.34</v>
      </c>
      <c r="L18" s="5">
        <v>6</v>
      </c>
      <c r="M18" s="5">
        <v>68</v>
      </c>
      <c r="N18" s="5">
        <v>135</v>
      </c>
      <c r="O18" s="5">
        <v>202</v>
      </c>
      <c r="P18" s="5">
        <v>269</v>
      </c>
      <c r="Q18" s="5">
        <v>336</v>
      </c>
      <c r="R18" s="5">
        <f t="shared" si="9"/>
        <v>404</v>
      </c>
      <c r="S18" s="5">
        <f t="shared" si="9"/>
        <v>472</v>
      </c>
      <c r="T18" s="5">
        <f t="shared" si="9"/>
        <v>540</v>
      </c>
      <c r="U18" s="5">
        <f t="shared" si="9"/>
        <v>608</v>
      </c>
      <c r="V18" s="5">
        <f t="shared" si="9"/>
        <v>676</v>
      </c>
      <c r="W18" s="5">
        <f t="shared" si="9"/>
        <v>744</v>
      </c>
      <c r="X18" s="5">
        <f t="shared" si="9"/>
        <v>812</v>
      </c>
    </row>
    <row r="19" spans="1:31" x14ac:dyDescent="0.35">
      <c r="A19" s="27"/>
      <c r="B19" s="2" t="s">
        <v>0</v>
      </c>
      <c r="C19" s="2" t="s">
        <v>1</v>
      </c>
      <c r="E19" s="91"/>
      <c r="F19" s="1">
        <v>16</v>
      </c>
      <c r="G19" s="3">
        <f t="shared" si="10"/>
        <v>11.509999999999998</v>
      </c>
      <c r="H19" s="4">
        <f t="shared" si="11"/>
        <v>138.20000000000002</v>
      </c>
      <c r="J19" s="5">
        <v>81</v>
      </c>
      <c r="K19" s="29">
        <v>1.1200000000000001</v>
      </c>
      <c r="L19" s="5">
        <v>7</v>
      </c>
      <c r="M19" s="5">
        <v>81</v>
      </c>
      <c r="N19" s="5">
        <v>161</v>
      </c>
      <c r="O19" s="5">
        <v>242</v>
      </c>
      <c r="P19" s="5">
        <v>322</v>
      </c>
      <c r="Q19" s="5">
        <v>402</v>
      </c>
      <c r="R19" s="5">
        <f t="shared" si="9"/>
        <v>483</v>
      </c>
      <c r="S19" s="5">
        <f t="shared" si="9"/>
        <v>564</v>
      </c>
      <c r="T19" s="5">
        <f t="shared" si="9"/>
        <v>645</v>
      </c>
      <c r="U19" s="5">
        <f t="shared" si="9"/>
        <v>726</v>
      </c>
      <c r="V19" s="5">
        <f t="shared" si="9"/>
        <v>807</v>
      </c>
      <c r="W19" s="5">
        <f t="shared" si="9"/>
        <v>888</v>
      </c>
      <c r="X19" s="5">
        <f t="shared" si="9"/>
        <v>969</v>
      </c>
      <c r="AD19" t="s">
        <v>74</v>
      </c>
      <c r="AE19" s="1">
        <v>150</v>
      </c>
    </row>
    <row r="20" spans="1:31" x14ac:dyDescent="0.35">
      <c r="A20" s="27"/>
      <c r="B20" s="1">
        <v>1</v>
      </c>
      <c r="C20" s="1">
        <v>160</v>
      </c>
      <c r="E20" s="91"/>
      <c r="F20" s="1">
        <v>17</v>
      </c>
      <c r="G20" s="3">
        <f t="shared" si="10"/>
        <v>12.199999999999998</v>
      </c>
      <c r="H20" s="4">
        <f t="shared" si="11"/>
        <v>146.50000000000003</v>
      </c>
      <c r="J20" s="5">
        <v>108</v>
      </c>
      <c r="K20" s="29">
        <v>0.84</v>
      </c>
      <c r="L20" s="5">
        <v>8</v>
      </c>
      <c r="M20" s="5">
        <v>108</v>
      </c>
      <c r="N20" s="5">
        <v>215</v>
      </c>
      <c r="O20" s="5">
        <v>322</v>
      </c>
      <c r="P20" s="5">
        <v>429</v>
      </c>
      <c r="Q20" s="5">
        <v>536</v>
      </c>
      <c r="R20" s="5">
        <f t="shared" si="9"/>
        <v>644</v>
      </c>
      <c r="S20" s="5">
        <f t="shared" si="9"/>
        <v>752</v>
      </c>
      <c r="T20" s="5">
        <f t="shared" si="9"/>
        <v>860</v>
      </c>
      <c r="U20" s="5">
        <f t="shared" si="9"/>
        <v>968</v>
      </c>
      <c r="V20" s="5">
        <f t="shared" si="9"/>
        <v>1076</v>
      </c>
      <c r="W20" s="5">
        <f t="shared" si="9"/>
        <v>1184</v>
      </c>
      <c r="X20" s="5">
        <f t="shared" si="9"/>
        <v>1292</v>
      </c>
      <c r="AD20" t="s">
        <v>75</v>
      </c>
      <c r="AE20" s="1">
        <v>90</v>
      </c>
    </row>
    <row r="21" spans="1:31" x14ac:dyDescent="0.35">
      <c r="A21" s="27"/>
      <c r="B21" s="1">
        <v>2</v>
      </c>
      <c r="C21" s="1">
        <v>160</v>
      </c>
      <c r="E21" s="91"/>
      <c r="F21" s="1">
        <v>18</v>
      </c>
      <c r="G21" s="3">
        <f t="shared" si="10"/>
        <v>12.889999999999997</v>
      </c>
      <c r="H21" s="4">
        <f t="shared" si="11"/>
        <v>154.80000000000004</v>
      </c>
      <c r="J21" s="5">
        <v>161</v>
      </c>
      <c r="K21" s="29">
        <v>0.56000000000000005</v>
      </c>
      <c r="L21" s="5">
        <v>9</v>
      </c>
      <c r="M21" s="5">
        <v>161</v>
      </c>
      <c r="N21" s="5">
        <v>322</v>
      </c>
      <c r="O21" s="5">
        <v>483</v>
      </c>
      <c r="P21" s="5">
        <v>643</v>
      </c>
      <c r="Q21" s="5">
        <v>804</v>
      </c>
      <c r="R21" s="5">
        <f t="shared" si="9"/>
        <v>965</v>
      </c>
      <c r="S21" s="5">
        <f t="shared" si="9"/>
        <v>1126</v>
      </c>
      <c r="T21" s="5">
        <f t="shared" si="9"/>
        <v>1287</v>
      </c>
      <c r="U21" s="5">
        <f t="shared" si="9"/>
        <v>1448</v>
      </c>
      <c r="V21" s="5">
        <f t="shared" si="9"/>
        <v>1609</v>
      </c>
      <c r="W21" s="5">
        <f t="shared" si="9"/>
        <v>1770</v>
      </c>
      <c r="X21" s="5">
        <f t="shared" si="9"/>
        <v>1931</v>
      </c>
      <c r="AD21" t="s">
        <v>76</v>
      </c>
      <c r="AE21" s="1">
        <v>60</v>
      </c>
    </row>
    <row r="22" spans="1:31" x14ac:dyDescent="0.35">
      <c r="A22" s="27"/>
      <c r="B22" s="1">
        <v>3</v>
      </c>
      <c r="C22" s="1">
        <v>240</v>
      </c>
      <c r="E22" s="91"/>
      <c r="F22" s="1">
        <v>19</v>
      </c>
      <c r="G22" s="3">
        <f t="shared" si="10"/>
        <v>13.579999999999997</v>
      </c>
      <c r="H22" s="4">
        <f t="shared" si="11"/>
        <v>163.10000000000005</v>
      </c>
    </row>
    <row r="23" spans="1:31" x14ac:dyDescent="0.35">
      <c r="A23" s="27"/>
      <c r="B23" s="1">
        <v>4</v>
      </c>
      <c r="C23" s="1">
        <v>320</v>
      </c>
      <c r="E23" s="91"/>
      <c r="F23" s="1">
        <v>20</v>
      </c>
      <c r="G23" s="3">
        <f t="shared" si="10"/>
        <v>14.269999999999996</v>
      </c>
      <c r="H23" s="4">
        <f t="shared" si="11"/>
        <v>171.40000000000006</v>
      </c>
    </row>
    <row r="24" spans="1:31" x14ac:dyDescent="0.35">
      <c r="B24" s="1">
        <v>5</v>
      </c>
      <c r="C24" s="1">
        <v>400</v>
      </c>
      <c r="J24" t="s">
        <v>92</v>
      </c>
      <c r="K24" s="28" t="s">
        <v>117</v>
      </c>
      <c r="L24" s="92" t="s">
        <v>118</v>
      </c>
      <c r="M24" s="92"/>
      <c r="N24" s="92"/>
      <c r="O24" s="92"/>
      <c r="P24" s="1" t="s">
        <v>152</v>
      </c>
    </row>
    <row r="25" spans="1:31" x14ac:dyDescent="0.35">
      <c r="B25" s="1">
        <v>6</v>
      </c>
      <c r="C25" s="1">
        <f>C24+$C$18</f>
        <v>480</v>
      </c>
      <c r="K25" s="1" t="s">
        <v>119</v>
      </c>
      <c r="L25" s="29">
        <v>2.25</v>
      </c>
      <c r="P25" s="54">
        <v>0.06</v>
      </c>
    </row>
    <row r="26" spans="1:31" x14ac:dyDescent="0.35">
      <c r="B26" s="1">
        <v>7</v>
      </c>
      <c r="C26" s="1">
        <f t="shared" ref="C26:C31" si="12">C25+$C$18</f>
        <v>560</v>
      </c>
      <c r="F26" s="27"/>
      <c r="J26">
        <v>20</v>
      </c>
      <c r="K26" s="44" t="s">
        <v>120</v>
      </c>
      <c r="L26" s="29">
        <v>1.79</v>
      </c>
      <c r="P26" s="54">
        <v>7.0000000000000007E-2</v>
      </c>
    </row>
    <row r="27" spans="1:31" x14ac:dyDescent="0.35">
      <c r="A27" s="27"/>
      <c r="B27" s="1">
        <v>8</v>
      </c>
      <c r="C27" s="1">
        <f t="shared" si="12"/>
        <v>640</v>
      </c>
      <c r="F27" s="2"/>
      <c r="H27" s="2"/>
      <c r="J27">
        <f t="shared" ref="J27:J46" si="13">J26+4</f>
        <v>24</v>
      </c>
      <c r="K27" s="1" t="s">
        <v>121</v>
      </c>
      <c r="L27" s="29">
        <v>1.6</v>
      </c>
      <c r="P27" s="54">
        <v>0.08</v>
      </c>
    </row>
    <row r="28" spans="1:31" x14ac:dyDescent="0.35">
      <c r="A28" s="27"/>
      <c r="B28" s="1">
        <v>9</v>
      </c>
      <c r="C28" s="1">
        <f t="shared" si="12"/>
        <v>720</v>
      </c>
      <c r="F28" s="2"/>
      <c r="G28" s="2"/>
      <c r="H28" s="2"/>
      <c r="J28">
        <f t="shared" si="13"/>
        <v>28</v>
      </c>
      <c r="K28" s="1" t="s">
        <v>122</v>
      </c>
      <c r="L28" s="29">
        <v>1.47</v>
      </c>
      <c r="P28" s="54">
        <v>0.09</v>
      </c>
    </row>
    <row r="29" spans="1:31" x14ac:dyDescent="0.35">
      <c r="A29" s="27"/>
      <c r="B29" s="1">
        <v>10</v>
      </c>
      <c r="C29" s="1">
        <f t="shared" si="12"/>
        <v>800</v>
      </c>
      <c r="F29" s="1"/>
      <c r="G29" s="3"/>
      <c r="H29" s="4"/>
      <c r="J29">
        <f t="shared" si="13"/>
        <v>32</v>
      </c>
      <c r="K29" s="1" t="s">
        <v>123</v>
      </c>
      <c r="L29" s="29">
        <v>1.3</v>
      </c>
      <c r="P29" s="54">
        <v>0.1</v>
      </c>
    </row>
    <row r="30" spans="1:31" x14ac:dyDescent="0.35">
      <c r="A30" s="27"/>
      <c r="B30" s="1">
        <v>11</v>
      </c>
      <c r="C30" s="1">
        <f t="shared" si="12"/>
        <v>880</v>
      </c>
      <c r="F30" s="1"/>
      <c r="G30" s="3"/>
      <c r="H30" s="4"/>
      <c r="J30">
        <f t="shared" si="13"/>
        <v>36</v>
      </c>
      <c r="K30" s="1" t="s">
        <v>124</v>
      </c>
      <c r="L30" s="29">
        <v>1.1200000000000001</v>
      </c>
      <c r="P30" s="54">
        <v>0.11</v>
      </c>
    </row>
    <row r="31" spans="1:31" x14ac:dyDescent="0.35">
      <c r="A31" s="27"/>
      <c r="B31" s="1">
        <v>12</v>
      </c>
      <c r="C31" s="1">
        <f t="shared" si="12"/>
        <v>960</v>
      </c>
      <c r="F31" s="1"/>
      <c r="G31" s="3"/>
      <c r="H31" s="4"/>
      <c r="J31">
        <f t="shared" si="13"/>
        <v>40</v>
      </c>
      <c r="K31" s="1" t="s">
        <v>126</v>
      </c>
      <c r="L31" s="29">
        <v>1</v>
      </c>
      <c r="P31" s="54">
        <v>0.12</v>
      </c>
    </row>
    <row r="32" spans="1:31" x14ac:dyDescent="0.35">
      <c r="A32" s="27"/>
      <c r="B32" s="1"/>
      <c r="C32" s="1"/>
      <c r="F32" s="1"/>
      <c r="G32" s="3"/>
      <c r="H32" s="4"/>
      <c r="J32">
        <f t="shared" si="13"/>
        <v>44</v>
      </c>
      <c r="K32" s="1" t="s">
        <v>125</v>
      </c>
      <c r="L32" s="29">
        <v>0.9</v>
      </c>
      <c r="P32" s="54">
        <v>0.13</v>
      </c>
    </row>
    <row r="33" spans="1:16" x14ac:dyDescent="0.35">
      <c r="A33" s="27"/>
      <c r="B33" s="1"/>
      <c r="C33" s="1"/>
      <c r="F33" s="1"/>
      <c r="G33" s="3"/>
      <c r="H33" s="4"/>
      <c r="J33">
        <f t="shared" si="13"/>
        <v>48</v>
      </c>
      <c r="K33" s="1" t="s">
        <v>127</v>
      </c>
      <c r="L33" s="29">
        <v>0.84</v>
      </c>
      <c r="P33" s="54">
        <v>0.14000000000000001</v>
      </c>
    </row>
    <row r="34" spans="1:16" x14ac:dyDescent="0.35">
      <c r="A34" s="27"/>
      <c r="B34" s="1"/>
      <c r="C34" s="1"/>
      <c r="F34" s="1"/>
      <c r="G34" s="3"/>
      <c r="H34" s="4"/>
      <c r="J34">
        <f t="shared" si="13"/>
        <v>52</v>
      </c>
      <c r="K34" s="1" t="s">
        <v>128</v>
      </c>
      <c r="L34" s="29">
        <v>0.78</v>
      </c>
      <c r="P34" s="54">
        <v>0.15</v>
      </c>
    </row>
    <row r="35" spans="1:16" x14ac:dyDescent="0.35">
      <c r="A35" s="27"/>
      <c r="B35" s="1"/>
      <c r="C35" s="1"/>
      <c r="F35" s="1"/>
      <c r="G35" s="3"/>
      <c r="H35" s="4"/>
      <c r="J35">
        <f t="shared" si="13"/>
        <v>56</v>
      </c>
      <c r="K35" s="1" t="s">
        <v>129</v>
      </c>
      <c r="L35" s="29">
        <v>0.72</v>
      </c>
      <c r="P35" s="54">
        <v>0.16</v>
      </c>
    </row>
    <row r="36" spans="1:16" x14ac:dyDescent="0.35">
      <c r="A36" s="27"/>
      <c r="B36" s="1"/>
      <c r="C36" s="1"/>
      <c r="F36" s="1"/>
      <c r="G36" s="3"/>
      <c r="H36" s="4"/>
      <c r="J36">
        <f t="shared" si="13"/>
        <v>60</v>
      </c>
      <c r="K36" s="1" t="s">
        <v>130</v>
      </c>
      <c r="L36" s="29">
        <v>0.67</v>
      </c>
      <c r="P36" s="54">
        <v>0.17</v>
      </c>
    </row>
    <row r="37" spans="1:16" x14ac:dyDescent="0.35">
      <c r="A37" s="27"/>
      <c r="B37" s="1"/>
      <c r="C37" s="1"/>
      <c r="F37" s="1"/>
      <c r="G37" s="3"/>
      <c r="H37" s="4"/>
      <c r="J37">
        <f t="shared" si="13"/>
        <v>64</v>
      </c>
      <c r="K37" s="1" t="s">
        <v>131</v>
      </c>
      <c r="L37" s="29">
        <v>0.62</v>
      </c>
      <c r="P37" s="54">
        <v>0.18</v>
      </c>
    </row>
    <row r="38" spans="1:16" x14ac:dyDescent="0.35">
      <c r="A38" s="27"/>
      <c r="B38" s="1"/>
      <c r="C38" s="1"/>
      <c r="F38" s="1"/>
      <c r="G38" s="3"/>
      <c r="H38" s="4"/>
      <c r="J38">
        <f t="shared" si="13"/>
        <v>68</v>
      </c>
      <c r="K38" s="1" t="s">
        <v>132</v>
      </c>
      <c r="L38" s="29">
        <v>0.56999999999999995</v>
      </c>
      <c r="P38" s="54">
        <v>0.19</v>
      </c>
    </row>
    <row r="39" spans="1:16" x14ac:dyDescent="0.35">
      <c r="A39" s="27"/>
      <c r="B39" s="1"/>
      <c r="C39" s="1"/>
      <c r="F39" s="1"/>
      <c r="G39" s="3"/>
      <c r="H39" s="4"/>
      <c r="J39">
        <f t="shared" si="13"/>
        <v>72</v>
      </c>
      <c r="K39" s="1" t="s">
        <v>133</v>
      </c>
      <c r="L39" s="29">
        <v>0.53</v>
      </c>
      <c r="P39" s="54">
        <v>0.2</v>
      </c>
    </row>
    <row r="40" spans="1:16" x14ac:dyDescent="0.35">
      <c r="A40" s="27"/>
      <c r="B40" s="1"/>
      <c r="C40" s="1"/>
      <c r="F40" s="1"/>
      <c r="G40" s="3"/>
      <c r="H40" s="4"/>
      <c r="J40">
        <f t="shared" si="13"/>
        <v>76</v>
      </c>
      <c r="K40" s="1" t="s">
        <v>134</v>
      </c>
      <c r="L40" s="29">
        <v>0.49</v>
      </c>
    </row>
    <row r="41" spans="1:16" x14ac:dyDescent="0.35">
      <c r="A41" s="27"/>
      <c r="J41">
        <f t="shared" si="13"/>
        <v>80</v>
      </c>
      <c r="K41" s="1" t="s">
        <v>135</v>
      </c>
      <c r="L41" s="29">
        <v>0.46</v>
      </c>
    </row>
    <row r="42" spans="1:16" x14ac:dyDescent="0.35">
      <c r="A42" s="27"/>
      <c r="J42">
        <f t="shared" si="13"/>
        <v>84</v>
      </c>
      <c r="K42" s="1" t="s">
        <v>136</v>
      </c>
      <c r="L42" s="29">
        <v>0.43</v>
      </c>
    </row>
    <row r="43" spans="1:16" x14ac:dyDescent="0.35">
      <c r="A43" s="27"/>
      <c r="J43">
        <f t="shared" si="13"/>
        <v>88</v>
      </c>
      <c r="K43" s="1" t="s">
        <v>137</v>
      </c>
      <c r="L43" s="29">
        <v>0.39</v>
      </c>
    </row>
    <row r="44" spans="1:16" x14ac:dyDescent="0.35">
      <c r="A44" s="27"/>
      <c r="J44">
        <f t="shared" si="13"/>
        <v>92</v>
      </c>
    </row>
    <row r="45" spans="1:16" x14ac:dyDescent="0.35">
      <c r="A45" s="27"/>
      <c r="J45">
        <f t="shared" si="13"/>
        <v>96</v>
      </c>
    </row>
    <row r="46" spans="1:16" x14ac:dyDescent="0.35">
      <c r="A46" s="27"/>
      <c r="J46">
        <f t="shared" si="13"/>
        <v>100</v>
      </c>
    </row>
    <row r="47" spans="1:16" x14ac:dyDescent="0.35">
      <c r="A47" s="27"/>
    </row>
    <row r="48" spans="1:16" x14ac:dyDescent="0.35">
      <c r="A48" s="27"/>
    </row>
  </sheetData>
  <mergeCells count="4">
    <mergeCell ref="M2:X2"/>
    <mergeCell ref="E12:E23"/>
    <mergeCell ref="M11:X11"/>
    <mergeCell ref="L24:O2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1189D-29FC-4011-8402-CE4161FC3925}">
  <dimension ref="A1:L19"/>
  <sheetViews>
    <sheetView workbookViewId="0">
      <selection activeCell="F24" sqref="F24"/>
    </sheetView>
  </sheetViews>
  <sheetFormatPr defaultRowHeight="14.5" x14ac:dyDescent="0.35"/>
  <cols>
    <col min="2" max="2" width="12.81640625" bestFit="1" customWidth="1"/>
    <col min="5" max="5" width="12.81640625" bestFit="1" customWidth="1"/>
    <col min="7" max="7" width="10.81640625" bestFit="1" customWidth="1"/>
    <col min="8" max="8" width="12.81640625" bestFit="1" customWidth="1"/>
    <col min="11" max="11" width="10.81640625" bestFit="1" customWidth="1"/>
    <col min="12" max="12" width="12.81640625" bestFit="1" customWidth="1"/>
  </cols>
  <sheetData>
    <row r="1" spans="1:12" x14ac:dyDescent="0.35">
      <c r="A1" t="s">
        <v>94</v>
      </c>
      <c r="B1" t="s">
        <v>98</v>
      </c>
      <c r="D1" t="s">
        <v>95</v>
      </c>
      <c r="E1" t="s">
        <v>98</v>
      </c>
      <c r="G1" s="86" t="s">
        <v>95</v>
      </c>
      <c r="H1" s="86"/>
      <c r="K1" s="86" t="s">
        <v>94</v>
      </c>
      <c r="L1" s="86"/>
    </row>
    <row r="2" spans="1:12" x14ac:dyDescent="0.35">
      <c r="A2" t="s">
        <v>92</v>
      </c>
      <c r="B2" t="e" vm="1">
        <v>#VALUE!</v>
      </c>
      <c r="D2" t="s">
        <v>92</v>
      </c>
      <c r="E2" t="e" vm="2">
        <v>#VALUE!</v>
      </c>
      <c r="G2" t="s">
        <v>58</v>
      </c>
      <c r="H2" t="s">
        <v>98</v>
      </c>
      <c r="K2" t="s">
        <v>58</v>
      </c>
      <c r="L2" t="s">
        <v>98</v>
      </c>
    </row>
    <row r="3" spans="1:12" x14ac:dyDescent="0.35">
      <c r="A3" t="s">
        <v>53</v>
      </c>
      <c r="B3" t="e" vm="3">
        <v>#VALUE!</v>
      </c>
      <c r="D3" t="s">
        <v>53</v>
      </c>
      <c r="E3" t="e" vm="4">
        <v>#VALUE!</v>
      </c>
      <c r="G3" t="s">
        <v>96</v>
      </c>
      <c r="H3" t="e" vm="5">
        <v>#VALUE!</v>
      </c>
      <c r="K3" t="s">
        <v>96</v>
      </c>
      <c r="L3" t="e" vm="6">
        <v>#VALUE!</v>
      </c>
    </row>
    <row r="4" spans="1:12" x14ac:dyDescent="0.35">
      <c r="A4" t="s">
        <v>54</v>
      </c>
      <c r="B4" t="e" vm="7">
        <v>#VALUE!</v>
      </c>
      <c r="D4" t="s">
        <v>54</v>
      </c>
      <c r="E4" t="e" vm="8">
        <v>#VALUE!</v>
      </c>
      <c r="G4" t="s">
        <v>97</v>
      </c>
      <c r="H4" t="e" vm="9">
        <v>#VALUE!</v>
      </c>
      <c r="K4" t="s">
        <v>97</v>
      </c>
      <c r="L4" t="e" vm="10">
        <v>#VALUE!</v>
      </c>
    </row>
    <row r="10" spans="1:12" x14ac:dyDescent="0.35">
      <c r="A10" t="s">
        <v>94</v>
      </c>
      <c r="B10" t="s">
        <v>99</v>
      </c>
      <c r="D10" t="s">
        <v>95</v>
      </c>
      <c r="E10" t="s">
        <v>99</v>
      </c>
      <c r="G10" s="86" t="s">
        <v>95</v>
      </c>
      <c r="H10" s="86"/>
      <c r="K10" s="86" t="s">
        <v>94</v>
      </c>
      <c r="L10" s="86"/>
    </row>
    <row r="11" spans="1:12" x14ac:dyDescent="0.35">
      <c r="A11" t="s">
        <v>92</v>
      </c>
      <c r="B11" t="e" vm="11">
        <v>#VALUE!</v>
      </c>
      <c r="D11" t="s">
        <v>92</v>
      </c>
      <c r="E11" t="e" vm="12">
        <v>#VALUE!</v>
      </c>
      <c r="G11" t="s">
        <v>58</v>
      </c>
      <c r="H11" t="s">
        <v>99</v>
      </c>
      <c r="K11" t="s">
        <v>58</v>
      </c>
      <c r="L11" t="s">
        <v>99</v>
      </c>
    </row>
    <row r="12" spans="1:12" x14ac:dyDescent="0.35">
      <c r="A12" t="s">
        <v>53</v>
      </c>
      <c r="B12" t="e" vm="13">
        <v>#VALUE!</v>
      </c>
      <c r="D12" t="s">
        <v>53</v>
      </c>
      <c r="E12" t="e" vm="14">
        <v>#VALUE!</v>
      </c>
      <c r="G12" t="s">
        <v>96</v>
      </c>
      <c r="H12" t="e" vm="15">
        <v>#VALUE!</v>
      </c>
      <c r="K12" t="s">
        <v>96</v>
      </c>
      <c r="L12" t="e" vm="16">
        <v>#VALUE!</v>
      </c>
    </row>
    <row r="13" spans="1:12" x14ac:dyDescent="0.35">
      <c r="A13" t="s">
        <v>54</v>
      </c>
      <c r="B13" t="e" vm="17">
        <v>#VALUE!</v>
      </c>
      <c r="D13" t="s">
        <v>54</v>
      </c>
      <c r="E13" t="e" vm="18">
        <v>#VALUE!</v>
      </c>
      <c r="G13" t="s">
        <v>97</v>
      </c>
      <c r="H13" t="e" vm="19">
        <v>#VALUE!</v>
      </c>
      <c r="K13" t="s">
        <v>97</v>
      </c>
      <c r="L13" t="e" vm="20">
        <v>#VALUE!</v>
      </c>
    </row>
    <row r="17" spans="1:2" x14ac:dyDescent="0.35">
      <c r="A17" t="s">
        <v>60</v>
      </c>
    </row>
    <row r="18" spans="1:2" x14ac:dyDescent="0.35">
      <c r="A18" t="s">
        <v>154</v>
      </c>
      <c r="B18" t="e" vm="21">
        <v>#VALUE!</v>
      </c>
    </row>
    <row r="19" spans="1:2" x14ac:dyDescent="0.35">
      <c r="A19" t="s">
        <v>153</v>
      </c>
      <c r="B19" t="e" vm="22">
        <v>#VALUE!</v>
      </c>
    </row>
  </sheetData>
  <mergeCells count="4">
    <mergeCell ref="G1:H1"/>
    <mergeCell ref="G10:H10"/>
    <mergeCell ref="K1:L1"/>
    <mergeCell ref="K10:L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41BD6-7C04-4625-B34F-BC59CE2A161A}">
  <dimension ref="B1:R20"/>
  <sheetViews>
    <sheetView workbookViewId="0">
      <selection activeCell="J14" sqref="J14"/>
    </sheetView>
  </sheetViews>
  <sheetFormatPr defaultColWidth="9.1796875" defaultRowHeight="14.5" x14ac:dyDescent="0.35"/>
  <cols>
    <col min="1" max="1" width="9.1796875" style="1"/>
    <col min="2" max="2" width="12.7265625" style="1" bestFit="1" customWidth="1"/>
    <col min="3" max="4" width="9.1796875" style="1"/>
    <col min="5" max="5" width="15.54296875" style="1" bestFit="1" customWidth="1"/>
    <col min="6" max="6" width="18.453125" style="1" bestFit="1" customWidth="1"/>
    <col min="7" max="7" width="14.7265625" style="1" bestFit="1" customWidth="1"/>
    <col min="8" max="8" width="19.453125" style="1" bestFit="1" customWidth="1"/>
    <col min="9" max="9" width="10.453125" style="1" bestFit="1" customWidth="1"/>
    <col min="10" max="10" width="13.54296875" style="1" bestFit="1" customWidth="1"/>
    <col min="11" max="16384" width="9.1796875" style="1"/>
  </cols>
  <sheetData>
    <row r="1" spans="2:18" ht="15" thickBot="1" x14ac:dyDescent="0.4">
      <c r="E1" s="90" t="s">
        <v>100</v>
      </c>
      <c r="F1" s="90"/>
      <c r="G1" s="90"/>
      <c r="H1" s="90"/>
      <c r="O1" s="7" t="s">
        <v>41</v>
      </c>
      <c r="P1" s="14" t="str">
        <f>IF(Bed!C26&gt;=Bed!C18,"Yes","No")</f>
        <v>No</v>
      </c>
      <c r="Q1" s="14"/>
      <c r="R1" s="15"/>
    </row>
    <row r="2" spans="2:18" ht="15" thickBot="1" x14ac:dyDescent="0.4">
      <c r="B2" s="1" t="s">
        <v>100</v>
      </c>
      <c r="E2" s="1" t="s">
        <v>106</v>
      </c>
      <c r="F2" s="1" t="s">
        <v>111</v>
      </c>
      <c r="G2" s="1" t="s">
        <v>107</v>
      </c>
      <c r="H2" s="1" t="s">
        <v>108</v>
      </c>
      <c r="O2"/>
      <c r="R2"/>
    </row>
    <row r="3" spans="2:18" x14ac:dyDescent="0.35">
      <c r="B3" s="1" t="str">
        <f>Trench!$C$6</f>
        <v>Hawaii</v>
      </c>
      <c r="E3" s="1">
        <f>Trench!C22</f>
        <v>65</v>
      </c>
      <c r="F3" s="1">
        <f>E3+1</f>
        <v>66</v>
      </c>
      <c r="G3" s="1">
        <f>Trench!C28</f>
        <v>5</v>
      </c>
      <c r="H3" s="1">
        <f>Trench!C23</f>
        <v>4</v>
      </c>
      <c r="O3" s="10" t="s">
        <v>24</v>
      </c>
      <c r="P3" s="25">
        <f>IF(P1="No",Bed!C18/(Bed!C22+1),"")</f>
        <v>13.751375137513751</v>
      </c>
      <c r="Q3" s="11" t="s">
        <v>11</v>
      </c>
      <c r="R3" s="12"/>
    </row>
    <row r="4" spans="2:18" x14ac:dyDescent="0.35">
      <c r="B4" s="1" t="s">
        <v>102</v>
      </c>
      <c r="C4" s="1" t="e" vm="23">
        <f>VLOOKUP($B$3,Drawings!$A$1:$B$9,2,FALSE)</f>
        <v>#VALUE!</v>
      </c>
      <c r="E4" s="1" t="str">
        <f>_xlfn.CONCAT(E3,"' ROW LENGTH")</f>
        <v>65' ROW LENGTH</v>
      </c>
      <c r="F4" s="1" t="str">
        <f>_xlfn.CONCAT(F3,"' TRENCH LENGTH")</f>
        <v>66' TRENCH LENGTH</v>
      </c>
      <c r="G4" s="1" t="str">
        <f>_xlfn.CONCAT(G3,"'")</f>
        <v>5'</v>
      </c>
      <c r="H4" s="1" t="str">
        <f>_xlfn.CONCAT("NUMBER OF ROWS: ",H3)</f>
        <v>NUMBER OF ROWS: 4</v>
      </c>
      <c r="O4" s="6" t="s">
        <v>25</v>
      </c>
      <c r="P4" s="26">
        <f>IF(P1="No",(P3-Bed!C25)/2,0)</f>
        <v>5.2506875687568755</v>
      </c>
      <c r="Q4" s="9" t="s">
        <v>11</v>
      </c>
      <c r="R4" s="13"/>
    </row>
    <row r="5" spans="2:18" x14ac:dyDescent="0.35">
      <c r="B5" s="1" t="s">
        <v>103</v>
      </c>
      <c r="C5" s="1" t="e" vm="24">
        <f>VLOOKUP($B$3,Drawings!$A$10:$B$18,2,FALSE)</f>
        <v>#VALUE!</v>
      </c>
      <c r="O5" s="6" t="s">
        <v>43</v>
      </c>
      <c r="P5" s="26">
        <f>IF(P1="No",P3*(Bed!C22+1),"")</f>
        <v>1388.8888888888889</v>
      </c>
      <c r="Q5" s="9" t="s">
        <v>114</v>
      </c>
      <c r="R5" s="13"/>
    </row>
    <row r="6" spans="2:18" ht="15" thickBot="1" x14ac:dyDescent="0.4">
      <c r="E6" s="90" t="s">
        <v>101</v>
      </c>
      <c r="F6" s="90"/>
      <c r="G6" s="90"/>
      <c r="H6" s="90"/>
      <c r="I6" s="90"/>
      <c r="J6" s="90"/>
      <c r="O6" s="7" t="s">
        <v>41</v>
      </c>
      <c r="P6" s="14" t="str">
        <f>IF(P5&gt;=Bed!C18,"Yes","No")</f>
        <v>Yes</v>
      </c>
      <c r="Q6" s="14"/>
      <c r="R6" s="15"/>
    </row>
    <row r="7" spans="2:18" x14ac:dyDescent="0.35">
      <c r="B7" s="1" t="s">
        <v>101</v>
      </c>
      <c r="E7" s="1" t="s">
        <v>106</v>
      </c>
      <c r="F7" s="1" t="s">
        <v>105</v>
      </c>
      <c r="G7" s="1" t="s">
        <v>107</v>
      </c>
      <c r="H7" s="1" t="s">
        <v>108</v>
      </c>
      <c r="I7" s="1" t="s">
        <v>109</v>
      </c>
      <c r="J7" s="1" t="s">
        <v>110</v>
      </c>
      <c r="O7"/>
      <c r="P7"/>
      <c r="Q7"/>
      <c r="R7"/>
    </row>
    <row r="8" spans="2:18" x14ac:dyDescent="0.35">
      <c r="B8" s="1" t="s">
        <v>92</v>
      </c>
      <c r="E8" s="1">
        <f>Bed!C22</f>
        <v>100</v>
      </c>
      <c r="F8" s="5">
        <f>Bed!C29</f>
        <v>101</v>
      </c>
      <c r="G8" s="29">
        <f>Bed!C28</f>
        <v>13.799999999999999</v>
      </c>
      <c r="H8" s="1">
        <f>Bed!C23</f>
        <v>4</v>
      </c>
      <c r="I8" s="51">
        <f>Bed!C27</f>
        <v>5.2749999999999995</v>
      </c>
      <c r="J8" s="29">
        <f>Bed!C25</f>
        <v>3.25</v>
      </c>
      <c r="O8"/>
      <c r="P8"/>
      <c r="Q8"/>
      <c r="R8"/>
    </row>
    <row r="9" spans="2:18" x14ac:dyDescent="0.35">
      <c r="B9" s="1" t="s">
        <v>102</v>
      </c>
      <c r="C9" s="1" t="e" vm="25">
        <f>VLOOKUP($B$8,Drawings!$D$1:$E$9,2,FALSE)</f>
        <v>#VALUE!</v>
      </c>
      <c r="E9" s="1" t="str">
        <f>_xlfn.CONCAT(E8,"' ROW LENGTH")</f>
        <v>100' ROW LENGTH</v>
      </c>
      <c r="F9" s="1" t="str">
        <f>_xlfn.CONCAT(F8,"' BED LENGTH")</f>
        <v>101' BED LENGTH</v>
      </c>
      <c r="G9" s="1" t="str">
        <f>_xlfn.CONCAT(G8,"'")</f>
        <v>13.8'</v>
      </c>
      <c r="H9" s="1" t="str">
        <f>_xlfn.CONCAT("NUMBER OF ROWS: ",H8)</f>
        <v>NUMBER OF ROWS: 4</v>
      </c>
      <c r="I9" s="3" t="str">
        <f>_xlfn.CONCAT(I8,"'")</f>
        <v>5.275'</v>
      </c>
      <c r="J9" s="1" t="str">
        <f>_xlfn.CONCAT(J8,"'")</f>
        <v>3.25'</v>
      </c>
      <c r="O9" s="46" t="s">
        <v>40</v>
      </c>
      <c r="P9" s="9" t="str">
        <f>IF(Bed!C24&gt;=Bed!C12,"Yes", "No")</f>
        <v>Yes</v>
      </c>
      <c r="Q9" s="9"/>
      <c r="R9" s="47"/>
    </row>
    <row r="10" spans="2:18" ht="15" thickBot="1" x14ac:dyDescent="0.4">
      <c r="B10" s="1" t="s">
        <v>103</v>
      </c>
      <c r="C10" s="1" t="e" vm="26">
        <f>VLOOKUP($B$8,Drawings!$D$10:$E$18,2,FALSE)</f>
        <v>#VALUE!</v>
      </c>
      <c r="L10" s="7" t="s">
        <v>29</v>
      </c>
      <c r="M10" s="69"/>
      <c r="N10" s="69"/>
      <c r="O10" s="70"/>
    </row>
    <row r="11" spans="2:18" x14ac:dyDescent="0.35">
      <c r="E11" s="90" t="s">
        <v>156</v>
      </c>
      <c r="F11" s="90"/>
      <c r="G11" s="90"/>
      <c r="H11" s="90"/>
      <c r="I11" s="90"/>
      <c r="J11" s="90"/>
    </row>
    <row r="12" spans="2:18" x14ac:dyDescent="0.35">
      <c r="B12" s="1" t="s">
        <v>104</v>
      </c>
      <c r="E12" s="1" t="s">
        <v>106</v>
      </c>
      <c r="F12" s="1" t="s">
        <v>105</v>
      </c>
      <c r="G12" s="1" t="s">
        <v>107</v>
      </c>
      <c r="H12" s="1" t="s">
        <v>108</v>
      </c>
      <c r="I12" s="1" t="s">
        <v>109</v>
      </c>
      <c r="J12" s="1" t="s">
        <v>110</v>
      </c>
    </row>
    <row r="13" spans="2:18" x14ac:dyDescent="0.35">
      <c r="B13" s="1" t="s">
        <v>97</v>
      </c>
      <c r="E13" s="5">
        <f>Sloped!C23</f>
        <v>64</v>
      </c>
      <c r="F13" s="5">
        <f>Sloped!C30</f>
        <v>65</v>
      </c>
      <c r="G13" s="29">
        <f>ROUND(Sloped!C29,2)</f>
        <v>5.75</v>
      </c>
      <c r="H13" s="5">
        <f>Sloped!C24</f>
        <v>4</v>
      </c>
      <c r="I13" s="1">
        <f>ROUND(Sloped!C28,2)</f>
        <v>2.5</v>
      </c>
      <c r="J13" s="29">
        <f>Sloped!C26</f>
        <v>3.25</v>
      </c>
    </row>
    <row r="14" spans="2:18" x14ac:dyDescent="0.35">
      <c r="B14" s="1" t="s">
        <v>102</v>
      </c>
      <c r="C14" s="1" t="e" vm="27">
        <f>VLOOKUP($B$13,Drawings!$G$1:$H$9,2,FALSE)</f>
        <v>#VALUE!</v>
      </c>
      <c r="E14" s="1" t="str">
        <f>_xlfn.CONCAT(E13,"' ROW LENGTH")</f>
        <v>64' ROW LENGTH</v>
      </c>
      <c r="F14" s="1" t="str">
        <f>_xlfn.CONCAT(F13,"' BED LENGTH")</f>
        <v>65' BED LENGTH</v>
      </c>
      <c r="G14" s="1" t="str">
        <f>_xlfn.CONCAT(G13,"'")</f>
        <v>5.75'</v>
      </c>
      <c r="H14" s="1" t="str">
        <f>_xlfn.CONCAT("NUMBER OF ROWS: ",H13)</f>
        <v>NUMBER OF ROWS: 4</v>
      </c>
      <c r="I14" s="3" t="str">
        <f>_xlfn.CONCAT(I13,"'")</f>
        <v>2.5'</v>
      </c>
      <c r="J14" s="1" t="str">
        <f>_xlfn.CONCAT(J13,"'")</f>
        <v>3.25'</v>
      </c>
    </row>
    <row r="15" spans="2:18" x14ac:dyDescent="0.35">
      <c r="B15" s="1" t="s">
        <v>103</v>
      </c>
      <c r="C15" s="1" t="e" vm="28">
        <f>VLOOKUP($B$13,Drawings!$G$10:$H$18,2,FALSE)</f>
        <v>#VALUE!</v>
      </c>
    </row>
    <row r="17" spans="2:3" x14ac:dyDescent="0.35">
      <c r="B17" s="1" t="s">
        <v>155</v>
      </c>
    </row>
    <row r="18" spans="2:3" x14ac:dyDescent="0.35">
      <c r="B18" s="1" t="s">
        <v>92</v>
      </c>
    </row>
    <row r="19" spans="2:3" x14ac:dyDescent="0.35">
      <c r="B19" s="1" t="s">
        <v>102</v>
      </c>
      <c r="C19" s="1" t="e" vm="29">
        <f>Drawings!B19</f>
        <v>#VALUE!</v>
      </c>
    </row>
    <row r="20" spans="2:3" x14ac:dyDescent="0.35">
      <c r="B20" s="1" t="s">
        <v>103</v>
      </c>
      <c r="C20" s="1" t="e" vm="30">
        <f>Drawings!B18</f>
        <v>#VALUE!</v>
      </c>
    </row>
  </sheetData>
  <mergeCells count="4">
    <mergeCell ref="M10:O10"/>
    <mergeCell ref="E1:H1"/>
    <mergeCell ref="E6:J6"/>
    <mergeCell ref="E11:J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456BDB0AF6540A5A9F8CDF38FA5D6" ma:contentTypeVersion="10" ma:contentTypeDescription="Create a new document." ma:contentTypeScope="" ma:versionID="9659fac050dd7f24649c20eb97482840">
  <xsd:schema xmlns:xsd="http://www.w3.org/2001/XMLSchema" xmlns:xs="http://www.w3.org/2001/XMLSchema" xmlns:p="http://schemas.microsoft.com/office/2006/metadata/properties" xmlns:ns2="64ec7219-5fd9-4614-acc5-7196699e11a0" targetNamespace="http://schemas.microsoft.com/office/2006/metadata/properties" ma:root="true" ma:fieldsID="a0a9745258eb450b8a7df9bd0b47e7f1" ns2:_="">
    <xsd:import namespace="64ec7219-5fd9-4614-acc5-7196699e11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Configuration" minOccurs="0"/>
                <xsd:element ref="ns2:Product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c7219-5fd9-4614-acc5-7196699e1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nfiguration" ma:index="12" nillable="true" ma:displayName="Configuration" ma:description="Serial, Parallel, combination " ma:format="Dropdown" ma:internalName="Configuration">
      <xsd:simpleType>
        <xsd:restriction base="dms:Choice">
          <xsd:enumeration value="Serial"/>
          <xsd:enumeration value="Parallel"/>
          <xsd:enumeration value="Combination"/>
        </xsd:restriction>
      </xsd:simpleType>
    </xsd:element>
    <xsd:element name="Product" ma:index="13" nillable="true" ma:displayName="Product" ma:format="Dropdown" ma:internalName="Product">
      <xsd:simpleType>
        <xsd:restriction base="dms:Choice">
          <xsd:enumeration value="AES"/>
          <xsd:enumeration value="ES"/>
          <xsd:enumeration value="AeroFin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 xmlns="64ec7219-5fd9-4614-acc5-7196699e11a0" xsi:nil="true"/>
    <Configuration xmlns="64ec7219-5fd9-4614-acc5-7196699e11a0" xsi:nil="true"/>
  </documentManagement>
</p:properties>
</file>

<file path=customXml/itemProps1.xml><?xml version="1.0" encoding="utf-8"?>
<ds:datastoreItem xmlns:ds="http://schemas.openxmlformats.org/officeDocument/2006/customXml" ds:itemID="{E42FF11B-7BDB-4416-A134-30066DCA38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ec7219-5fd9-4614-acc5-7196699e1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2D8BDE-2D95-41B3-9EFD-F5A79E39B8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BEC26B-DAE7-4820-88C0-905681A0C687}">
  <ds:schemaRefs>
    <ds:schemaRef ds:uri="http://schemas.microsoft.com/office/2006/metadata/properties"/>
    <ds:schemaRef ds:uri="http://schemas.microsoft.com/office/infopath/2007/PartnerControls"/>
    <ds:schemaRef ds:uri="64ec7219-5fd9-4614-acc5-7196699e1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Trench</vt:lpstr>
      <vt:lpstr>Bed</vt:lpstr>
      <vt:lpstr>Sloped</vt:lpstr>
      <vt:lpstr>WI In-Ground</vt:lpstr>
      <vt:lpstr>WI Mound</vt:lpstr>
      <vt:lpstr>Ref</vt:lpstr>
      <vt:lpstr>Drawings</vt:lpstr>
      <vt:lpstr>Pic Ref</vt:lpstr>
      <vt:lpstr>IDSoil</vt:lpstr>
      <vt:lpstr>MESoil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Nero</dc:creator>
  <cp:lastModifiedBy>Eoghan OConnor</cp:lastModifiedBy>
  <cp:lastPrinted>2026-02-16T15:51:18Z</cp:lastPrinted>
  <dcterms:created xsi:type="dcterms:W3CDTF">2025-10-09T12:51:06Z</dcterms:created>
  <dcterms:modified xsi:type="dcterms:W3CDTF">2026-04-15T16:54:05Z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0x0101005F6456BDB0AF6540A5A9F8CDF38FA5D6</vt:lpwstr>
  </property>
</Properties>
</file>