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fogg\Desktop\"/>
    </mc:Choice>
  </mc:AlternateContent>
  <xr:revisionPtr revIDLastSave="0" documentId="13_ncr:1_{32513304-BB63-4239-AA28-79C0094FD349}" xr6:coauthVersionLast="47" xr6:coauthVersionMax="47" xr10:uidLastSave="{00000000-0000-0000-0000-000000000000}"/>
  <bookViews>
    <workbookView xWindow="105" yWindow="195" windowWidth="11145" windowHeight="14850" xr2:uid="{00000000-000D-0000-FFFF-FFFF00000000}"/>
  </bookViews>
  <sheets>
    <sheet name="Calculator" sheetId="1" r:id="rId1"/>
    <sheet name="GPD" sheetId="5" state="hidden" r:id="rId2"/>
    <sheet name="RowLgth" sheetId="6" state="hidden" r:id="rId3"/>
    <sheet name="Sys % Slope" sheetId="7" state="hidden" r:id="rId4"/>
  </sheets>
  <definedNames>
    <definedName name="DDF">Calculator!$D$14</definedName>
    <definedName name="GPD">GPD!$A$2:$B$10</definedName>
    <definedName name="NumRows">Calculator!$D$17</definedName>
    <definedName name="PipeReq">Calculator!$D$13</definedName>
    <definedName name="_xlnm.Print_Area" localSheetId="0">Calculator!$B$1:$S$73</definedName>
    <definedName name="RowLength">RowLgth!$A$1:$A$76</definedName>
    <definedName name="RowSpacing">Calculator!$D$12</definedName>
    <definedName name="SandBedLength">Calculator!$D$19</definedName>
    <definedName name="SandBedWidth">Calculator!$D$21</definedName>
    <definedName name="SandExt">Calculator!$D$22</definedName>
    <definedName name="SLR">Calculator!$D$8</definedName>
    <definedName name="SSBA_Table">Calculator!$Z$9:$AB$10</definedName>
    <definedName name="SSE_Test">Calculator!$V$13:$W$15</definedName>
    <definedName name="SystemSlope">'Sys % Slope'!$A$1:$A$26</definedName>
    <definedName name="TAW">Calculator!$D$20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0" i="1" l="1"/>
  <c r="D9" i="1"/>
  <c r="Z10" i="1"/>
  <c r="Z9" i="1"/>
  <c r="R26" i="1"/>
  <c r="D19" i="1" l="1"/>
  <c r="C7" i="1" l="1"/>
  <c r="C26" i="1" l="1"/>
  <c r="D14" i="1" l="1"/>
  <c r="AB10" i="1" s="1"/>
  <c r="D13" i="1"/>
  <c r="D17" i="1" s="1"/>
  <c r="D15" i="1" l="1"/>
  <c r="AB9" i="1"/>
  <c r="D18" i="1"/>
  <c r="D20" i="1" s="1"/>
  <c r="L28" i="1"/>
  <c r="N9" i="1"/>
  <c r="W10" i="1"/>
  <c r="N11" i="1"/>
  <c r="N10" i="1"/>
  <c r="K26" i="1" l="1"/>
  <c r="W12" i="1"/>
  <c r="W15" i="1" l="1"/>
  <c r="V15" i="1" s="1"/>
  <c r="W13" i="1"/>
  <c r="W14" i="1" a="1"/>
  <c r="W14" i="1" s="1"/>
  <c r="V14" i="1" s="1"/>
  <c r="V13" i="1" l="1"/>
  <c r="W16" i="1"/>
  <c r="K34" i="1" s="1"/>
  <c r="W9" i="1" l="1"/>
  <c r="D23" i="1" s="1"/>
  <c r="D21" i="1"/>
  <c r="W17" i="1" l="1"/>
  <c r="D22" i="1" s="1"/>
  <c r="J27" i="1"/>
  <c r="R27" i="1" s="1" a="1"/>
  <c r="R27" i="1" s="1"/>
  <c r="D16" i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<sst xmlns="http://schemas.openxmlformats.org/spreadsheetml/2006/main" count="61" uniqueCount="50">
  <si>
    <t>Presby Products</t>
  </si>
  <si>
    <t>Pipe being used =</t>
  </si>
  <si>
    <t>ft</t>
  </si>
  <si>
    <t>Offset Adapters =</t>
  </si>
  <si>
    <t>total</t>
  </si>
  <si>
    <t>Row Length =</t>
  </si>
  <si>
    <t>Couplings =</t>
  </si>
  <si>
    <t>Copy the items above and Paste them into and email to request a quation. Press the button below to open your email program.</t>
  </si>
  <si>
    <t>Daily Design Flow =</t>
  </si>
  <si>
    <t>GPD</t>
  </si>
  <si>
    <t>Sand Bed Area Required =</t>
  </si>
  <si>
    <t>sq ft</t>
  </si>
  <si>
    <t>Number of Rows =</t>
  </si>
  <si>
    <t>Sand Bed Length =</t>
  </si>
  <si>
    <t>Request a Quotation</t>
  </si>
  <si>
    <t>Plan View (not to scale)</t>
  </si>
  <si>
    <t>Section View (not to scale)</t>
  </si>
  <si>
    <t>ft min</t>
  </si>
  <si>
    <t>Bedrooms</t>
  </si>
  <si>
    <t>Treatment Area Width (Tall Portion) =</t>
  </si>
  <si>
    <t>ft³ sand</t>
  </si>
  <si>
    <t>ft³ pipe volume</t>
  </si>
  <si>
    <t>System Sand needed =</t>
  </si>
  <si>
    <t>GPD/SF</t>
  </si>
  <si>
    <t>SLR</t>
  </si>
  <si>
    <t>N</t>
  </si>
  <si>
    <t>%</t>
  </si>
  <si>
    <t>= minimum dispersal area width</t>
  </si>
  <si>
    <t>= level system sand extension</t>
  </si>
  <si>
    <t>= sand bed width</t>
  </si>
  <si>
    <t>Sand Bed Width =</t>
  </si>
  <si>
    <t>±yds³</t>
  </si>
  <si>
    <r>
      <t xml:space="preserve">                 </t>
    </r>
    <r>
      <rPr>
        <sz val="14"/>
        <color rgb="FF1F497D"/>
        <rFont val="Calibri"/>
        <family val="2"/>
        <scheme val="minor"/>
      </rPr>
      <t xml:space="preserve">   (residential strength wastewater only)</t>
    </r>
  </si>
  <si>
    <t xml:space="preserve">                    PEI Treatment System Calculator for Missouri</t>
  </si>
  <si>
    <t>≥0.3</t>
  </si>
  <si>
    <t>0.1-0.29</t>
  </si>
  <si>
    <t>T/F</t>
  </si>
  <si>
    <t>SSBA</t>
  </si>
  <si>
    <t>Pipe Layout Width =</t>
  </si>
  <si>
    <t>Soil Scientist Loading Rate =</t>
  </si>
  <si>
    <t>November 2022 Edition</t>
  </si>
  <si>
    <t>AES Pipe Required minimum =</t>
  </si>
  <si>
    <t>Sand Bed Area Provided =</t>
  </si>
  <si>
    <t>Center-to-Center Row Spacing =</t>
  </si>
  <si>
    <t>System Sand Extension =</t>
  </si>
  <si>
    <t>Daily Design Flow in Gallons per Day =</t>
  </si>
  <si>
    <t>PEI Soil Loading Rate (approximate)  =</t>
  </si>
  <si>
    <t>= Sloping SSE &gt;0 but &lt;=5%</t>
  </si>
  <si>
    <t>= Sloping SSE&gt;5%</t>
  </si>
  <si>
    <t>SSE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</si>
</sst>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5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FF0000"/>
      <name val="Arial"/>
      <family val="2"/>
    </font>
    <font>
      <b/>
      <sz val="16"/>
      <color rgb="FFFF0000"/>
      <name val="Calibri"/>
      <family val="2"/>
      <scheme val="minor"/>
    </font>
    <font>
      <b/>
      <sz val="16"/>
      <color theme="3"/>
      <name val="Calibri"/>
      <family val="2"/>
      <scheme val="minor"/>
    </font>
    <font>
      <u/>
      <sz val="11"/>
      <color theme="3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2"/>
      <name val="Calibri"/>
      <family val="2"/>
      <scheme val="minor"/>
    </font>
    <font>
      <sz val="11"/>
      <color theme="0" tint="-0.249977111117893"/>
      <name val="Calibri"/>
      <family val="2"/>
      <scheme val="minor"/>
    </font>
    <font>
      <b/>
      <sz val="16"/>
      <color rgb="FF1F497D"/>
      <name val="Calibri"/>
      <family val="2"/>
      <scheme val="minor"/>
    </font>
    <font>
      <b/>
      <sz val="14"/>
      <color rgb="FF1F497D"/>
      <name val="Calibri"/>
      <family val="2"/>
      <scheme val="minor"/>
    </font>
    <font>
      <sz val="14"/>
      <color rgb="FF1F497D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14">
    <border>
      <left/>
      <right/>
      <top/>
      <bottom/>
      <diagonal/>
    </border>
    <border>
      <left style="thin">
        <color rgb="FF92D050"/>
      </left>
      <right style="thin">
        <color rgb="FF92D050"/>
      </right>
      <top style="thin">
        <color rgb="FF92D050"/>
      </top>
      <bottom style="thin">
        <color rgb="FF92D050"/>
      </bottom>
      <diagonal/>
    </border>
    <border>
      <left/>
      <right/>
      <top/>
      <bottom style="dashed">
        <color auto="1"/>
      </bottom>
      <diagonal/>
    </border>
    <border>
      <left/>
      <right style="dashed">
        <color auto="1"/>
      </right>
      <top/>
      <bottom/>
      <diagonal/>
    </border>
    <border>
      <left style="dashed">
        <color auto="1"/>
      </left>
      <right/>
      <top/>
      <bottom/>
      <diagonal/>
    </border>
    <border>
      <left/>
      <right/>
      <top style="dashed">
        <color auto="1"/>
      </top>
      <bottom/>
      <diagonal/>
    </border>
    <border>
      <left style="thin">
        <color rgb="FF92D050"/>
      </left>
      <right style="thin">
        <color rgb="FF92D050"/>
      </right>
      <top/>
      <bottom style="thin">
        <color rgb="FF92D050"/>
      </bottom>
      <diagonal/>
    </border>
    <border>
      <left style="thin">
        <color rgb="FF92D050"/>
      </left>
      <right/>
      <top style="thin">
        <color rgb="FF92D050"/>
      </top>
      <bottom style="thin">
        <color rgb="FF92D050"/>
      </bottom>
      <diagonal/>
    </border>
    <border>
      <left/>
      <right/>
      <top style="thin">
        <color rgb="FF92D050"/>
      </top>
      <bottom style="thin">
        <color rgb="FF92D050"/>
      </bottom>
      <diagonal/>
    </border>
    <border>
      <left/>
      <right style="thin">
        <color rgb="FF92D050"/>
      </right>
      <top style="thin">
        <color rgb="FF92D050"/>
      </top>
      <bottom style="thin">
        <color rgb="FF92D050"/>
      </bottom>
      <diagonal/>
    </border>
    <border>
      <left style="thin">
        <color rgb="FF92D050"/>
      </left>
      <right/>
      <top style="thin">
        <color rgb="FF92D050"/>
      </top>
      <bottom/>
      <diagonal/>
    </border>
    <border>
      <left style="thin">
        <color rgb="FF92D050"/>
      </left>
      <right style="thin">
        <color rgb="FF92D050"/>
      </right>
      <top style="thin">
        <color rgb="FF92D050"/>
      </top>
      <bottom/>
      <diagonal/>
    </border>
    <border>
      <left style="thin">
        <color rgb="FF92D050"/>
      </left>
      <right style="thin">
        <color rgb="FF92D050"/>
      </right>
      <top style="thin">
        <color theme="6" tint="0.59999389629810485"/>
      </top>
      <bottom style="thin">
        <color rgb="FF92D050"/>
      </bottom>
      <diagonal/>
    </border>
    <border>
      <left style="thin">
        <color rgb="FF92D050"/>
      </left>
      <right style="thin">
        <color rgb="FF92D050"/>
      </right>
      <top style="thin">
        <color theme="6" tint="0.59999389629810485"/>
      </top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right"/>
    </xf>
    <xf numFmtId="0" fontId="1" fillId="0" borderId="0" xfId="0" applyFont="1"/>
    <xf numFmtId="2" fontId="1" fillId="0" borderId="0" xfId="0" applyNumberFormat="1" applyFont="1" applyAlignment="1">
      <alignment horizontal="right"/>
    </xf>
    <xf numFmtId="0" fontId="0" fillId="0" borderId="0" xfId="0" quotePrefix="1" applyAlignment="1">
      <alignment horizont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2" fontId="0" fillId="0" borderId="0" xfId="0" applyNumberFormat="1"/>
    <xf numFmtId="0" fontId="2" fillId="0" borderId="0" xfId="0" applyFont="1" applyAlignment="1">
      <alignment horizont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1" fontId="1" fillId="0" borderId="1" xfId="0" applyNumberFormat="1" applyFont="1" applyBorder="1" applyAlignment="1">
      <alignment horizontal="right" vertical="center"/>
    </xf>
    <xf numFmtId="2" fontId="1" fillId="0" borderId="1" xfId="0" applyNumberFormat="1" applyFont="1" applyBorder="1" applyAlignment="1">
      <alignment horizontal="right" vertical="center"/>
    </xf>
    <xf numFmtId="0" fontId="1" fillId="2" borderId="6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vertical="center"/>
      <protection locked="0"/>
    </xf>
    <xf numFmtId="0" fontId="1" fillId="2" borderId="1" xfId="0" applyFont="1" applyFill="1" applyBorder="1" applyAlignment="1" applyProtection="1">
      <alignment horizontal="right" vertical="center"/>
      <protection locked="0"/>
    </xf>
    <xf numFmtId="0" fontId="6" fillId="0" borderId="0" xfId="0" applyFont="1" applyAlignment="1">
      <alignment horizontal="center" vertical="center"/>
    </xf>
    <xf numFmtId="0" fontId="0" fillId="0" borderId="0" xfId="0" quotePrefix="1"/>
    <xf numFmtId="0" fontId="0" fillId="0" borderId="0" xfId="0" applyAlignment="1">
      <alignment horizontal="center" vertical="top" wrapText="1"/>
    </xf>
    <xf numFmtId="0" fontId="0" fillId="0" borderId="0" xfId="0" applyAlignment="1">
      <alignment vertical="top" wrapText="1"/>
    </xf>
    <xf numFmtId="0" fontId="3" fillId="0" borderId="0" xfId="1" applyFill="1" applyBorder="1" applyAlignment="1" applyProtection="1">
      <protection locked="0"/>
    </xf>
    <xf numFmtId="0" fontId="7" fillId="0" borderId="0" xfId="0" applyFont="1" applyAlignment="1">
      <alignment horizontal="center" vertical="center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Protection="1">
      <protection locked="0"/>
    </xf>
    <xf numFmtId="0" fontId="8" fillId="0" borderId="0" xfId="1" applyFont="1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center"/>
      <protection locked="0"/>
    </xf>
    <xf numFmtId="0" fontId="2" fillId="0" borderId="0" xfId="0" applyFont="1" applyProtection="1">
      <protection locked="0"/>
    </xf>
    <xf numFmtId="0" fontId="8" fillId="0" borderId="0" xfId="1" applyFont="1" applyFill="1" applyBorder="1" applyAlignment="1" applyProtection="1">
      <alignment vertical="center"/>
      <protection locked="0"/>
    </xf>
    <xf numFmtId="0" fontId="0" fillId="0" borderId="1" xfId="0" applyBorder="1" applyProtection="1">
      <protection locked="0"/>
    </xf>
    <xf numFmtId="0" fontId="7" fillId="0" borderId="0" xfId="0" applyFont="1" applyAlignment="1">
      <alignment vertical="center"/>
    </xf>
    <xf numFmtId="0" fontId="10" fillId="0" borderId="0" xfId="0" applyFont="1" applyAlignment="1">
      <alignment horizontal="left"/>
    </xf>
    <xf numFmtId="0" fontId="11" fillId="0" borderId="0" xfId="0" applyFont="1" applyAlignment="1">
      <alignment textRotation="90"/>
    </xf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right" vertical="center"/>
    </xf>
    <xf numFmtId="0" fontId="1" fillId="0" borderId="10" xfId="0" applyFont="1" applyBorder="1" applyAlignment="1">
      <alignment horizontal="right" vertical="center"/>
    </xf>
    <xf numFmtId="0" fontId="1" fillId="0" borderId="12" xfId="0" applyFont="1" applyBorder="1" applyAlignment="1">
      <alignment horizontal="right" vertical="center"/>
    </xf>
    <xf numFmtId="0" fontId="1" fillId="0" borderId="13" xfId="0" applyFont="1" applyBorder="1" applyAlignment="1">
      <alignment horizontal="right" vertical="center"/>
    </xf>
    <xf numFmtId="0" fontId="11" fillId="0" borderId="0" xfId="0" applyFont="1" applyAlignment="1">
      <alignment horizontal="center" textRotation="90"/>
    </xf>
    <xf numFmtId="0" fontId="0" fillId="0" borderId="0" xfId="0" applyAlignment="1">
      <alignment horizontal="center"/>
    </xf>
    <xf numFmtId="0" fontId="11" fillId="0" borderId="0" xfId="0" applyFont="1" applyAlignment="1">
      <alignment horizontal="center" textRotation="90"/>
    </xf>
    <xf numFmtId="0" fontId="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0" fillId="0" borderId="5" xfId="0" applyBorder="1" applyAlignment="1">
      <alignment horizontal="center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/>
    </xf>
    <xf numFmtId="0" fontId="0" fillId="0" borderId="2" xfId="0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12" fillId="0" borderId="0" xfId="0" applyFont="1" applyAlignment="1">
      <alignment horizontal="center" vertical="center"/>
    </xf>
    <xf numFmtId="0" fontId="0" fillId="0" borderId="1" xfId="0" applyBorder="1" applyAlignment="1" applyProtection="1">
      <alignment horizontal="center" vertical="center"/>
      <protection locked="0"/>
    </xf>
    <xf numFmtId="0" fontId="4" fillId="0" borderId="0" xfId="0" applyFont="1" applyAlignment="1">
      <alignment horizontal="center"/>
    </xf>
    <xf numFmtId="0" fontId="0" fillId="0" borderId="4" xfId="0" applyBorder="1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 applyAlignment="1" applyProtection="1">
      <alignment horizontal="right" vertical="center"/>
      <protection locked="0"/>
    </xf>
    <xf numFmtId="0" fontId="0" fillId="0" borderId="1" xfId="0" applyBorder="1" applyAlignment="1">
      <alignment horizontal="center" vertical="top" wrapText="1"/>
    </xf>
    <xf numFmtId="0" fontId="3" fillId="2" borderId="7" xfId="1" applyFill="1" applyBorder="1" applyAlignment="1" applyProtection="1">
      <alignment horizontal="center" vertical="center"/>
      <protection locked="0"/>
    </xf>
    <xf numFmtId="0" fontId="3" fillId="2" borderId="8" xfId="1" applyFill="1" applyBorder="1" applyAlignment="1" applyProtection="1">
      <alignment horizontal="center" vertical="center"/>
      <protection locked="0"/>
    </xf>
    <xf numFmtId="0" fontId="3" fillId="2" borderId="9" xfId="1" applyFill="1" applyBorder="1" applyAlignment="1" applyProtection="1">
      <alignment horizontal="center" vertical="center"/>
      <protection locked="0"/>
    </xf>
    <xf numFmtId="0" fontId="2" fillId="0" borderId="1" xfId="0" applyFont="1" applyBorder="1" applyAlignment="1" applyProtection="1">
      <alignment horizontal="center"/>
      <protection locked="0"/>
    </xf>
    <xf numFmtId="0" fontId="13" fillId="0" borderId="0" xfId="0" applyFont="1" applyAlignment="1">
      <alignment horizontal="center" vertical="center"/>
    </xf>
    <xf numFmtId="164" fontId="1" fillId="0" borderId="1" xfId="0" applyNumberFormat="1" applyFont="1" applyBorder="1"/>
    <xf numFmtId="164" fontId="1" fillId="2" borderId="11" xfId="0" applyNumberFormat="1" applyFont="1" applyFill="1" applyBorder="1" applyAlignment="1" applyProtection="1">
      <alignment vertical="center"/>
      <protection locked="0"/>
    </xf>
    <xf numFmtId="0" fontId="0" fillId="0" borderId="1" xfId="0" applyBorder="1" applyAlignment="1" applyProtection="1">
      <alignment horizontal="center"/>
    </xf>
    <xf numFmtId="0" fontId="0" fillId="0" borderId="1" xfId="0" applyBorder="1" applyAlignment="1" applyProtection="1">
      <alignment horizontal="center" vertical="center"/>
    </xf>
    <xf numFmtId="164" fontId="1" fillId="0" borderId="1" xfId="0" applyNumberFormat="1" applyFont="1" applyFill="1" applyBorder="1" applyProtection="1">
      <protection locked="0"/>
    </xf>
    <xf numFmtId="164" fontId="0" fillId="0" borderId="1" xfId="0" applyNumberFormat="1" applyBorder="1"/>
  </cellXfs>
  <cellStyles count="2">
    <cellStyle name="Hyperlink" xfId="1" builtinId="8"/>
    <cellStyle name="Normal" xfId="0" builtinId="0"/>
  </cellStyles>
  <dxfs count="61">
    <dxf>
      <border>
        <bottom style="dashed">
          <color auto="1"/>
        </bottom>
        <vertical/>
        <horizontal/>
      </border>
    </dxf>
    <dxf>
      <border>
        <bottom style="dashed">
          <color auto="1"/>
        </bottom>
        <vertical/>
        <horizontal/>
      </border>
    </dxf>
    <dxf>
      <border>
        <right style="dashed">
          <color auto="1"/>
        </right>
        <vertical/>
        <horizontal/>
      </border>
    </dxf>
    <dxf>
      <border>
        <right style="dashed">
          <color auto="1"/>
        </right>
        <vertical/>
        <horizontal/>
      </border>
    </dxf>
    <dxf>
      <border>
        <bottom style="dashed">
          <color auto="1"/>
        </bottom>
        <vertical/>
        <horizontal/>
      </border>
    </dxf>
    <dxf>
      <border>
        <left style="dashed">
          <color auto="1"/>
        </left>
        <vertical/>
        <horizontal/>
      </border>
    </dxf>
    <dxf>
      <border>
        <left style="dashed">
          <color auto="1"/>
        </left>
        <vertical/>
        <horizontal/>
      </border>
    </dxf>
    <dxf>
      <border>
        <left style="dashed">
          <color auto="1"/>
        </left>
        <vertical/>
        <horizontal/>
      </border>
    </dxf>
    <dxf>
      <border>
        <left style="dashed">
          <color auto="1"/>
        </left>
        <vertical/>
        <horizontal/>
      </border>
    </dxf>
    <dxf>
      <border>
        <right style="dashed">
          <color auto="1"/>
        </right>
        <vertical/>
        <horizontal/>
      </border>
    </dxf>
    <dxf>
      <border>
        <bottom style="dashed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3499862666707357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34998626667073579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rgb="FFFF8585"/>
        </patternFill>
      </fill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fill>
        <patternFill>
          <bgColor theme="0" tint="-0.24994659260841701"/>
        </patternFill>
      </fill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colors>
    <mruColors>
      <color rgb="FFFFFF99"/>
      <color rgb="FFFF8585"/>
      <color rgb="FFFF5353"/>
      <color rgb="FFFF6600"/>
      <color rgb="FF1F497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eetMetadata" Target="metadata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0</xdr:row>
      <xdr:rowOff>66675</xdr:rowOff>
    </xdr:from>
    <xdr:to>
      <xdr:col>2</xdr:col>
      <xdr:colOff>1200150</xdr:colOff>
      <xdr:row>4</xdr:row>
      <xdr:rowOff>145851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55DF745E-FEE1-4E9B-9AA4-B184BB4B9D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19100" y="66675"/>
          <a:ext cx="1162050" cy="9078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cluckey@infiltratorwater.com?subject=Illinois%20PEI%20System%20Quota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73"/>
  <sheetViews>
    <sheetView showGridLines="0" showRowColHeaders="0" tabSelected="1" zoomScaleNormal="100" workbookViewId="0">
      <selection activeCell="D7" sqref="D7"/>
    </sheetView>
  </sheetViews>
  <sheetFormatPr defaultRowHeight="15" x14ac:dyDescent="0.25"/>
  <cols>
    <col min="1" max="1" width="4.42578125" customWidth="1"/>
    <col min="2" max="2" width="1.28515625" customWidth="1"/>
    <col min="3" max="3" width="36.28515625" style="1" customWidth="1"/>
    <col min="5" max="5" width="7.28515625" customWidth="1"/>
    <col min="6" max="6" width="1.7109375" customWidth="1"/>
    <col min="7" max="7" width="1.85546875" customWidth="1"/>
    <col min="8" max="9" width="0.85546875" customWidth="1"/>
    <col min="10" max="10" width="6.7109375" customWidth="1"/>
    <col min="11" max="11" width="0.5703125" customWidth="1"/>
    <col min="12" max="12" width="3.5703125" customWidth="1"/>
    <col min="13" max="13" width="2.42578125" customWidth="1"/>
    <col min="14" max="14" width="1" customWidth="1"/>
    <col min="15" max="15" width="4.140625" customWidth="1"/>
    <col min="16" max="16" width="2.140625" customWidth="1"/>
    <col min="17" max="17" width="0.42578125" customWidth="1"/>
    <col min="18" max="18" width="6.7109375" customWidth="1"/>
    <col min="19" max="19" width="0.85546875" customWidth="1"/>
    <col min="20" max="20" width="6.140625" customWidth="1"/>
    <col min="21" max="21" width="1.7109375" customWidth="1"/>
    <col min="22" max="23" width="9.140625" hidden="1" customWidth="1"/>
    <col min="24" max="24" width="31.85546875" hidden="1" customWidth="1"/>
    <col min="25" max="28" width="9.140625" hidden="1" customWidth="1"/>
  </cols>
  <sheetData>
    <row r="1" spans="1:28" ht="6.75" customHeight="1" x14ac:dyDescent="0.25">
      <c r="C1"/>
    </row>
    <row r="2" spans="1:28" ht="20.100000000000001" customHeight="1" x14ac:dyDescent="0.25"/>
    <row r="3" spans="1:28" ht="20.100000000000001" customHeight="1" x14ac:dyDescent="0.25">
      <c r="C3" s="52" t="s">
        <v>33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32"/>
      <c r="T3" s="32"/>
      <c r="U3" s="24"/>
    </row>
    <row r="4" spans="1:28" ht="20.100000000000001" customHeight="1" x14ac:dyDescent="0.25">
      <c r="C4" s="63" t="s">
        <v>32</v>
      </c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19"/>
      <c r="T4" s="19"/>
      <c r="U4" s="19"/>
    </row>
    <row r="5" spans="1:28" ht="20.100000000000001" customHeight="1" x14ac:dyDescent="0.25"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</row>
    <row r="6" spans="1:28" ht="15.75" customHeight="1" x14ac:dyDescent="0.25">
      <c r="A6" s="43" t="s">
        <v>40</v>
      </c>
      <c r="C6" s="37" t="s">
        <v>45</v>
      </c>
      <c r="D6" s="18" t="s">
        <v>25</v>
      </c>
    </row>
    <row r="7" spans="1:28" ht="15.75" customHeight="1" x14ac:dyDescent="0.25">
      <c r="A7" s="43"/>
      <c r="C7" s="37" t="str">
        <f>IF(D6="N","Bedrooms =","Gallons per Day Loading =")</f>
        <v>Bedrooms =</v>
      </c>
      <c r="D7" s="17">
        <v>3</v>
      </c>
    </row>
    <row r="8" spans="1:28" ht="15.75" customHeight="1" x14ac:dyDescent="0.25">
      <c r="A8" s="43"/>
      <c r="C8" s="38" t="s">
        <v>39</v>
      </c>
      <c r="D8" s="65">
        <v>0.25</v>
      </c>
      <c r="E8" s="10" t="s">
        <v>23</v>
      </c>
      <c r="G8" s="62" t="s">
        <v>0</v>
      </c>
      <c r="H8" s="62"/>
      <c r="I8" s="62"/>
      <c r="J8" s="62"/>
      <c r="K8" s="62"/>
      <c r="L8" s="62"/>
      <c r="M8" s="62"/>
      <c r="N8" s="62"/>
      <c r="O8" s="62"/>
      <c r="P8" s="62"/>
      <c r="Q8" s="62"/>
      <c r="R8" s="62"/>
      <c r="S8" s="29"/>
      <c r="T8" s="29"/>
      <c r="U8" s="25"/>
      <c r="Z8" s="36" t="s">
        <v>36</v>
      </c>
      <c r="AA8" s="36" t="s">
        <v>24</v>
      </c>
      <c r="AB8" s="36" t="s">
        <v>37</v>
      </c>
    </row>
    <row r="9" spans="1:28" ht="15.75" customHeight="1" x14ac:dyDescent="0.25">
      <c r="A9" s="43"/>
      <c r="C9" s="38" t="s">
        <v>46</v>
      </c>
      <c r="D9" s="64">
        <f>IF(SLR&lt;=0.29,SLR,ROUNDDOWN(SLR/0.9,3))</f>
        <v>0.25</v>
      </c>
      <c r="E9" s="10" t="s">
        <v>23</v>
      </c>
      <c r="G9" s="57" t="s">
        <v>1</v>
      </c>
      <c r="H9" s="57"/>
      <c r="I9" s="57"/>
      <c r="J9" s="57"/>
      <c r="K9" s="57"/>
      <c r="L9" s="57"/>
      <c r="M9" s="57"/>
      <c r="N9" s="66">
        <f>D11*NumRows</f>
        <v>210</v>
      </c>
      <c r="O9" s="66"/>
      <c r="P9" s="66"/>
      <c r="Q9" s="66"/>
      <c r="R9" s="31" t="s">
        <v>2</v>
      </c>
      <c r="S9" s="26"/>
      <c r="U9" s="26"/>
      <c r="W9">
        <f>((TAW*1.25)+(W16*0.5))*(D11+1)</f>
        <v>1171.5</v>
      </c>
      <c r="X9" t="s">
        <v>20</v>
      </c>
      <c r="Z9" s="35" t="str">
        <f>IF(SLR&gt;0.29,1,"")</f>
        <v/>
      </c>
      <c r="AA9" t="s">
        <v>34</v>
      </c>
      <c r="AB9" t="str">
        <f>IF(Z9=1,CEILING(DDF/SLR*0.9,1),"")</f>
        <v/>
      </c>
    </row>
    <row r="10" spans="1:28" ht="15.75" customHeight="1" x14ac:dyDescent="0.25">
      <c r="A10" s="43"/>
      <c r="C10" s="40" t="str">
        <f xml:space="preserve"> "System Slope ="</f>
        <v>System Slope =</v>
      </c>
      <c r="D10" s="16">
        <v>0</v>
      </c>
      <c r="E10" s="10" t="s">
        <v>26</v>
      </c>
      <c r="G10" s="53" t="s">
        <v>3</v>
      </c>
      <c r="H10" s="53"/>
      <c r="I10" s="53"/>
      <c r="J10" s="53"/>
      <c r="K10" s="53"/>
      <c r="L10" s="53"/>
      <c r="M10" s="53"/>
      <c r="N10" s="67">
        <f>Calculator!D17*2</f>
        <v>6</v>
      </c>
      <c r="O10" s="67"/>
      <c r="P10" s="67"/>
      <c r="Q10" s="67"/>
      <c r="R10" s="31" t="s">
        <v>4</v>
      </c>
      <c r="S10" s="28"/>
      <c r="U10" s="26"/>
      <c r="W10">
        <f>PI()*0.5^2*N9</f>
        <v>164.93361431346415</v>
      </c>
      <c r="X10" t="s">
        <v>21</v>
      </c>
      <c r="Z10" s="35">
        <f>IF(AND(SLR&gt;=0.1,SLR&lt;=0.29),1,"")</f>
        <v>1</v>
      </c>
      <c r="AA10" t="s">
        <v>35</v>
      </c>
      <c r="AB10">
        <f>IF(Z10=1,CEILING(DDF/SLR,1),"")</f>
        <v>1440</v>
      </c>
    </row>
    <row r="11" spans="1:28" ht="15.75" customHeight="1" x14ac:dyDescent="0.25">
      <c r="A11" s="43"/>
      <c r="C11" s="39" t="s">
        <v>5</v>
      </c>
      <c r="D11" s="17">
        <v>70</v>
      </c>
      <c r="E11" s="10" t="s">
        <v>2</v>
      </c>
      <c r="G11" s="57" t="s">
        <v>6</v>
      </c>
      <c r="H11" s="57"/>
      <c r="I11" s="57"/>
      <c r="J11" s="57"/>
      <c r="K11" s="57"/>
      <c r="L11" s="57"/>
      <c r="M11" s="57"/>
      <c r="N11" s="67">
        <f>ROUNDUP((Calculator!D11/10)-1,1)*Calculator!D17</f>
        <v>18</v>
      </c>
      <c r="O11" s="67"/>
      <c r="P11" s="67"/>
      <c r="Q11" s="67"/>
      <c r="R11" s="31" t="s">
        <v>4</v>
      </c>
      <c r="S11" s="28"/>
      <c r="U11" s="26"/>
    </row>
    <row r="12" spans="1:28" ht="15.75" customHeight="1" x14ac:dyDescent="0.25">
      <c r="A12" s="43"/>
      <c r="C12" s="39" t="s">
        <v>43</v>
      </c>
      <c r="D12" s="68">
        <v>1.5</v>
      </c>
      <c r="E12" s="10" t="s">
        <v>2</v>
      </c>
      <c r="G12" s="58" t="s">
        <v>7</v>
      </c>
      <c r="H12" s="58"/>
      <c r="I12" s="58"/>
      <c r="J12" s="58"/>
      <c r="K12" s="58"/>
      <c r="L12" s="58"/>
      <c r="M12" s="58"/>
      <c r="N12" s="58"/>
      <c r="O12" s="58"/>
      <c r="P12" s="58"/>
      <c r="Q12" s="58"/>
      <c r="R12" s="58"/>
      <c r="S12" s="22"/>
      <c r="T12" s="22"/>
      <c r="U12" s="21"/>
      <c r="W12">
        <f>CEILING(D15/SandBedLength,0.25)</f>
        <v>20.5</v>
      </c>
      <c r="X12" s="20" t="s">
        <v>27</v>
      </c>
    </row>
    <row r="13" spans="1:28" ht="15.75" customHeight="1" x14ac:dyDescent="0.25">
      <c r="A13" s="43"/>
      <c r="C13" s="37" t="s">
        <v>41</v>
      </c>
      <c r="D13" s="11">
        <f>IF(D6="N",D7*70,CEILING(D7/2.14,1))</f>
        <v>210</v>
      </c>
      <c r="E13" s="10" t="s">
        <v>2</v>
      </c>
      <c r="F13" s="22"/>
      <c r="G13" s="58"/>
      <c r="H13" s="58"/>
      <c r="I13" s="58"/>
      <c r="J13" s="58"/>
      <c r="K13" s="58"/>
      <c r="L13" s="58"/>
      <c r="M13" s="58"/>
      <c r="N13" s="58"/>
      <c r="O13" s="58"/>
      <c r="P13" s="58"/>
      <c r="Q13" s="58"/>
      <c r="R13" s="58"/>
      <c r="S13" s="22"/>
      <c r="T13" s="22"/>
      <c r="U13" s="21"/>
      <c r="V13">
        <f>IF(W13&gt;0,1,0)</f>
        <v>0</v>
      </c>
      <c r="W13">
        <f>IF(AND(D10&gt;0,D10&lt;=5,W12&gt;TAW),CEILING(W12-TAW,0.25),0)</f>
        <v>0</v>
      </c>
      <c r="X13" s="20" t="s">
        <v>47</v>
      </c>
    </row>
    <row r="14" spans="1:28" ht="15.75" customHeight="1" x14ac:dyDescent="0.25">
      <c r="A14" s="43"/>
      <c r="C14" s="37" t="s">
        <v>8</v>
      </c>
      <c r="D14" s="11">
        <f>IF(D6="N",VLOOKUP(D7,GPD,2,FALSE),D7)</f>
        <v>360</v>
      </c>
      <c r="E14" s="10" t="s">
        <v>9</v>
      </c>
      <c r="F14" s="22"/>
      <c r="G14" s="58"/>
      <c r="H14" s="58"/>
      <c r="I14" s="58"/>
      <c r="J14" s="58"/>
      <c r="K14" s="58"/>
      <c r="L14" s="58"/>
      <c r="M14" s="58"/>
      <c r="N14" s="58"/>
      <c r="O14" s="58"/>
      <c r="P14" s="58"/>
      <c r="Q14" s="58"/>
      <c r="R14" s="58"/>
      <c r="S14" s="22"/>
      <c r="T14" s="22"/>
      <c r="U14" s="21"/>
      <c r="V14">
        <f t="shared" ref="V14:V15" si="0">IF(W14&gt;0,1,0)</f>
        <v>0</v>
      </c>
      <c r="W14" cm="1">
        <f t="array" ref="W14">_xlfn.IFS(D10&lt;=5,0,AND(D10&gt;5,(W12-TAW)&gt;=2.5),CEILING(W12-TAW,0.25),AND(D10&gt;5,W12&lt;=TAW),2.5)</f>
        <v>0</v>
      </c>
      <c r="X14" s="20" t="s">
        <v>48</v>
      </c>
    </row>
    <row r="15" spans="1:28" ht="15.75" customHeight="1" x14ac:dyDescent="0.25">
      <c r="A15" s="43"/>
      <c r="C15" s="37" t="s">
        <v>10</v>
      </c>
      <c r="D15" s="12">
        <f>IF(SLR&gt;=0.3,CEILING(DDF/SLR*0.9,1),CEILING(DDF/SLR,1))</f>
        <v>1440</v>
      </c>
      <c r="E15" s="10" t="s">
        <v>11</v>
      </c>
      <c r="F15" s="22"/>
      <c r="G15" s="58"/>
      <c r="H15" s="58"/>
      <c r="I15" s="58"/>
      <c r="J15" s="58"/>
      <c r="K15" s="58"/>
      <c r="L15" s="58"/>
      <c r="M15" s="58"/>
      <c r="N15" s="58"/>
      <c r="O15" s="58"/>
      <c r="P15" s="58"/>
      <c r="Q15" s="58"/>
      <c r="R15" s="58"/>
      <c r="S15" s="22"/>
      <c r="T15" s="22"/>
      <c r="U15" s="21"/>
      <c r="V15">
        <f t="shared" si="0"/>
        <v>1</v>
      </c>
      <c r="W15">
        <f>IF(AND(D10=0,W12&gt;TAW),CEILING((W12-TAW)/2,0.125),0)</f>
        <v>7.75</v>
      </c>
      <c r="X15" s="20" t="s">
        <v>28</v>
      </c>
    </row>
    <row r="16" spans="1:28" ht="15.75" customHeight="1" x14ac:dyDescent="0.25">
      <c r="A16" s="43"/>
      <c r="C16" s="37" t="s">
        <v>42</v>
      </c>
      <c r="D16" s="12">
        <f>SandBedLength*SandBedWidth</f>
        <v>1455.5</v>
      </c>
      <c r="E16" s="10" t="s">
        <v>11</v>
      </c>
      <c r="G16" s="59" t="s">
        <v>14</v>
      </c>
      <c r="H16" s="60"/>
      <c r="I16" s="60"/>
      <c r="J16" s="60"/>
      <c r="K16" s="60"/>
      <c r="L16" s="60"/>
      <c r="M16" s="60"/>
      <c r="N16" s="60"/>
      <c r="O16" s="60"/>
      <c r="P16" s="60"/>
      <c r="Q16" s="60"/>
      <c r="R16" s="61"/>
      <c r="S16" s="30"/>
      <c r="T16" s="30"/>
      <c r="U16" s="27"/>
      <c r="W16" s="8">
        <f>TAW+W13+W14+2*W15</f>
        <v>20.5</v>
      </c>
      <c r="X16" s="20" t="s">
        <v>29</v>
      </c>
    </row>
    <row r="17" spans="1:24" ht="15.75" customHeight="1" x14ac:dyDescent="0.25">
      <c r="A17" s="43"/>
      <c r="C17" s="37" t="s">
        <v>12</v>
      </c>
      <c r="D17" s="13">
        <f>CEILING(PipeReq/D11,1)</f>
        <v>3</v>
      </c>
      <c r="E17" s="10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W17" s="8">
        <f>IF(SandBedWidth=TAW,0,VLOOKUP(1,SSE_Test,2,FALSE))</f>
        <v>7.75</v>
      </c>
      <c r="X17" t="s">
        <v>49</v>
      </c>
    </row>
    <row r="18" spans="1:24" ht="15.75" x14ac:dyDescent="0.25">
      <c r="A18" s="43"/>
      <c r="C18" s="37" t="s">
        <v>38</v>
      </c>
      <c r="D18" s="15">
        <f>(NumRows-1)*RowSpacing+1</f>
        <v>4</v>
      </c>
      <c r="E18" s="10" t="s">
        <v>2</v>
      </c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</row>
    <row r="19" spans="1:24" ht="15.75" x14ac:dyDescent="0.25">
      <c r="A19" s="43"/>
      <c r="C19" s="37" t="s">
        <v>13</v>
      </c>
      <c r="D19" s="14">
        <f>D11+1</f>
        <v>71</v>
      </c>
      <c r="E19" s="10" t="s">
        <v>2</v>
      </c>
    </row>
    <row r="20" spans="1:24" ht="15.75" x14ac:dyDescent="0.25">
      <c r="A20" s="43"/>
      <c r="C20" s="37" t="s">
        <v>19</v>
      </c>
      <c r="D20" s="15">
        <f>D18+1</f>
        <v>5</v>
      </c>
      <c r="E20" s="10" t="s">
        <v>2</v>
      </c>
      <c r="W20" s="8"/>
    </row>
    <row r="21" spans="1:24" ht="15.75" x14ac:dyDescent="0.25">
      <c r="A21" s="41"/>
      <c r="C21" s="37" t="s">
        <v>30</v>
      </c>
      <c r="D21" s="15">
        <f>W16</f>
        <v>20.5</v>
      </c>
      <c r="E21" s="10" t="s">
        <v>17</v>
      </c>
      <c r="W21" s="8"/>
    </row>
    <row r="22" spans="1:24" ht="15.75" x14ac:dyDescent="0.25">
      <c r="A22" s="41"/>
      <c r="C22" s="37" t="s">
        <v>44</v>
      </c>
      <c r="D22" s="69">
        <f>W17</f>
        <v>7.75</v>
      </c>
      <c r="E22" s="10" t="s">
        <v>2</v>
      </c>
      <c r="W22" s="8"/>
    </row>
    <row r="23" spans="1:24" ht="15.75" x14ac:dyDescent="0.25">
      <c r="A23" s="41"/>
      <c r="C23" s="37" t="s">
        <v>22</v>
      </c>
      <c r="D23" s="14">
        <f>CEILING((W9-W10)/27,1)</f>
        <v>38</v>
      </c>
      <c r="E23" s="10" t="s">
        <v>31</v>
      </c>
      <c r="W23" s="8"/>
    </row>
    <row r="24" spans="1:24" ht="15.75" x14ac:dyDescent="0.25">
      <c r="A24" s="34"/>
      <c r="C24" s="33"/>
      <c r="D24" s="3"/>
      <c r="E24" s="2"/>
      <c r="K24" s="7"/>
      <c r="L24" s="7"/>
      <c r="M24" s="7"/>
      <c r="N24" s="7"/>
      <c r="O24" s="7"/>
      <c r="P24" s="7"/>
      <c r="Q24" s="7"/>
      <c r="R24" s="7"/>
    </row>
    <row r="25" spans="1:24" ht="15" customHeight="1" x14ac:dyDescent="0.25">
      <c r="C25" s="45" t="s">
        <v>15</v>
      </c>
      <c r="D25" s="45"/>
      <c r="E25" s="45"/>
      <c r="J25" s="45" t="s">
        <v>16</v>
      </c>
      <c r="K25" s="45"/>
      <c r="L25" s="45"/>
      <c r="M25" s="45"/>
      <c r="N25" s="45"/>
      <c r="O25" s="45"/>
      <c r="P25" s="45"/>
      <c r="Q25" s="45"/>
      <c r="R25" s="45"/>
    </row>
    <row r="26" spans="1:24" ht="12" customHeight="1" x14ac:dyDescent="0.25">
      <c r="C26" s="48" t="str">
        <f>"&lt;-------------------------------- "&amp;D11&amp;"' -------------------------------&gt;"</f>
        <v>&lt;-------------------------------- 70' -------------------------------&gt;</v>
      </c>
      <c r="D26" s="48"/>
      <c r="E26" s="48"/>
      <c r="K26" s="50" t="str">
        <f>"&lt;----"&amp;TAW&amp;"'"&amp;"----&gt;"</f>
        <v>&lt;----5'----&gt;</v>
      </c>
      <c r="L26" s="50"/>
      <c r="M26" s="50"/>
      <c r="N26" s="50"/>
      <c r="O26" s="50"/>
      <c r="P26" s="50"/>
      <c r="Q26" s="50"/>
      <c r="R26" s="7" t="str">
        <f>IF(D10&gt;0, "Sloping Extension", "")</f>
        <v/>
      </c>
    </row>
    <row r="27" spans="1:24" ht="5.0999999999999996" customHeight="1" x14ac:dyDescent="0.25">
      <c r="C27" s="42"/>
      <c r="D27" s="42"/>
      <c r="E27" s="42"/>
      <c r="J27" s="54" t="str">
        <f>IF(AND(SandBedWidth&gt;TAW,$D$10=0),$W$15&amp;"'","")</f>
        <v>7.75'</v>
      </c>
      <c r="K27" s="55"/>
      <c r="M27" s="35"/>
      <c r="N27" s="5"/>
      <c r="Q27" s="51"/>
      <c r="R27" s="54" t="str" cm="1">
        <f t="array" ref="R27">_xlfn.IFS(D10=0,J27,AND(D10&gt;0,D10&lt;=5,W13&gt;0),W13,AND(D10&gt;5,W14&gt;0),W14,TAW=SandBedWidth,"")</f>
        <v>7.75'</v>
      </c>
    </row>
    <row r="28" spans="1:24" ht="5.0999999999999996" customHeight="1" x14ac:dyDescent="0.25">
      <c r="J28" s="54"/>
      <c r="K28" s="55"/>
      <c r="L28" s="56" t="str">
        <f>"("&amp;NumRows&amp;") rows"</f>
        <v>(3) rows</v>
      </c>
      <c r="M28" s="56"/>
      <c r="N28" s="56"/>
      <c r="O28" s="56"/>
      <c r="P28" s="56"/>
      <c r="Q28" s="51"/>
      <c r="R28" s="54"/>
    </row>
    <row r="29" spans="1:24" ht="5.0999999999999996" customHeight="1" x14ac:dyDescent="0.25">
      <c r="C29" s="42"/>
      <c r="D29" s="42"/>
      <c r="E29" s="42"/>
      <c r="J29" s="54"/>
      <c r="K29" s="55"/>
      <c r="L29" s="56"/>
      <c r="M29" s="56"/>
      <c r="N29" s="56"/>
      <c r="O29" s="56"/>
      <c r="P29" s="56"/>
      <c r="Q29" s="51"/>
      <c r="R29" s="54"/>
    </row>
    <row r="30" spans="1:24" ht="5.0999999999999996" customHeight="1" x14ac:dyDescent="0.25">
      <c r="J30" s="4"/>
      <c r="K30" s="55"/>
      <c r="L30" s="56"/>
      <c r="M30" s="56"/>
      <c r="N30" s="56"/>
      <c r="O30" s="56"/>
      <c r="P30" s="56"/>
      <c r="Q30" s="51"/>
      <c r="R30" s="4"/>
    </row>
    <row r="31" spans="1:24" ht="5.0999999999999996" customHeight="1" x14ac:dyDescent="0.25">
      <c r="C31" s="42"/>
      <c r="D31" s="42"/>
      <c r="E31" s="42"/>
      <c r="I31" s="42"/>
      <c r="K31" s="42"/>
      <c r="L31" s="56"/>
      <c r="M31" s="56"/>
      <c r="N31" s="56"/>
      <c r="O31" s="56"/>
      <c r="P31" s="56"/>
      <c r="Q31" s="42"/>
      <c r="S31" s="42"/>
    </row>
    <row r="32" spans="1:24" ht="5.0999999999999996" customHeight="1" x14ac:dyDescent="0.25">
      <c r="I32" s="42"/>
      <c r="J32" s="4"/>
      <c r="K32" s="49"/>
      <c r="L32" s="47"/>
      <c r="M32" s="47"/>
      <c r="N32" s="5"/>
      <c r="O32" s="47"/>
      <c r="P32" s="47"/>
      <c r="Q32" s="49"/>
      <c r="R32" s="4"/>
      <c r="S32" s="42"/>
    </row>
    <row r="33" spans="3:19" ht="5.0999999999999996" customHeight="1" x14ac:dyDescent="0.25">
      <c r="C33" s="42"/>
      <c r="D33" s="42"/>
      <c r="E33" s="42"/>
      <c r="K33" s="46"/>
      <c r="L33" s="46"/>
      <c r="M33" s="46"/>
      <c r="N33" s="46"/>
      <c r="O33" s="46"/>
      <c r="P33" s="46"/>
      <c r="Q33" s="46"/>
    </row>
    <row r="34" spans="3:19" ht="5.0999999999999996" customHeight="1" x14ac:dyDescent="0.25">
      <c r="J34" s="6"/>
      <c r="K34" s="44" t="str">
        <f>IF($W$16=TAW,"","&lt;----"&amp;$W$16&amp;"'----&gt;")</f>
        <v>&lt;----20.5'----&gt;</v>
      </c>
      <c r="L34" s="44"/>
      <c r="M34" s="44"/>
      <c r="N34" s="44"/>
      <c r="O34" s="44"/>
      <c r="P34" s="44"/>
      <c r="Q34" s="44"/>
      <c r="R34" s="6"/>
      <c r="S34" s="6"/>
    </row>
    <row r="35" spans="3:19" ht="5.0999999999999996" customHeight="1" x14ac:dyDescent="0.25">
      <c r="C35" s="42"/>
      <c r="D35" s="42"/>
      <c r="E35" s="42"/>
      <c r="I35" s="6"/>
      <c r="J35" s="6"/>
      <c r="K35" s="44"/>
      <c r="L35" s="44"/>
      <c r="M35" s="44"/>
      <c r="N35" s="44"/>
      <c r="O35" s="44"/>
      <c r="P35" s="44"/>
      <c r="Q35" s="44"/>
      <c r="R35" s="6"/>
      <c r="S35" s="6"/>
    </row>
    <row r="36" spans="3:19" ht="5.0999999999999996" customHeight="1" x14ac:dyDescent="0.25">
      <c r="I36" s="6"/>
      <c r="J36" s="6"/>
      <c r="K36" s="44"/>
      <c r="L36" s="44"/>
      <c r="M36" s="44"/>
      <c r="N36" s="44"/>
      <c r="O36" s="44"/>
      <c r="P36" s="44"/>
      <c r="Q36" s="44"/>
      <c r="R36" s="6"/>
      <c r="S36" s="6"/>
    </row>
    <row r="37" spans="3:19" ht="5.0999999999999996" customHeight="1" x14ac:dyDescent="0.25">
      <c r="C37" s="42"/>
      <c r="D37" s="42"/>
      <c r="E37" s="42"/>
    </row>
    <row r="38" spans="3:19" ht="5.0999999999999996" customHeight="1" x14ac:dyDescent="0.25"/>
    <row r="39" spans="3:19" ht="5.0999999999999996" customHeight="1" x14ac:dyDescent="0.25">
      <c r="C39" s="42"/>
      <c r="D39" s="42"/>
      <c r="E39" s="42"/>
    </row>
    <row r="40" spans="3:19" ht="5.0999999999999996" customHeight="1" x14ac:dyDescent="0.25"/>
    <row r="41" spans="3:19" ht="5.0999999999999996" customHeight="1" x14ac:dyDescent="0.25">
      <c r="C41" s="42"/>
      <c r="D41" s="42"/>
      <c r="E41" s="42"/>
    </row>
    <row r="42" spans="3:19" ht="5.0999999999999996" customHeight="1" x14ac:dyDescent="0.25"/>
    <row r="43" spans="3:19" ht="5.0999999999999996" customHeight="1" x14ac:dyDescent="0.25">
      <c r="C43" s="42"/>
      <c r="D43" s="42"/>
      <c r="E43" s="42"/>
    </row>
    <row r="44" spans="3:19" ht="5.0999999999999996" customHeight="1" x14ac:dyDescent="0.25"/>
    <row r="45" spans="3:19" ht="5.0999999999999996" customHeight="1" x14ac:dyDescent="0.25">
      <c r="C45" s="42"/>
      <c r="D45" s="42"/>
      <c r="E45" s="42"/>
    </row>
    <row r="46" spans="3:19" ht="5.0999999999999996" customHeight="1" x14ac:dyDescent="0.25"/>
    <row r="47" spans="3:19" ht="5.0999999999999996" customHeight="1" x14ac:dyDescent="0.25">
      <c r="C47" s="42"/>
      <c r="D47" s="42"/>
      <c r="E47" s="42"/>
    </row>
    <row r="48" spans="3:19" ht="5.0999999999999996" customHeight="1" x14ac:dyDescent="0.25"/>
    <row r="49" spans="3:5" ht="5.0999999999999996" customHeight="1" x14ac:dyDescent="0.25">
      <c r="C49" s="42"/>
      <c r="D49" s="42"/>
      <c r="E49" s="42"/>
    </row>
    <row r="50" spans="3:5" ht="5.0999999999999996" customHeight="1" x14ac:dyDescent="0.25">
      <c r="C50" s="35"/>
      <c r="D50" s="35"/>
      <c r="E50" s="35"/>
    </row>
    <row r="51" spans="3:5" ht="5.0999999999999996" customHeight="1" x14ac:dyDescent="0.25">
      <c r="C51" s="42"/>
      <c r="D51" s="42"/>
      <c r="E51" s="42"/>
    </row>
    <row r="52" spans="3:5" ht="5.0999999999999996" customHeight="1" x14ac:dyDescent="0.25">
      <c r="C52" s="35"/>
      <c r="D52" s="35"/>
      <c r="E52" s="35"/>
    </row>
    <row r="53" spans="3:5" ht="5.0999999999999996" customHeight="1" x14ac:dyDescent="0.25">
      <c r="C53" s="42"/>
      <c r="D53" s="42"/>
      <c r="E53" s="42"/>
    </row>
    <row r="54" spans="3:5" ht="5.0999999999999996" customHeight="1" x14ac:dyDescent="0.25">
      <c r="C54" s="35"/>
      <c r="D54" s="35"/>
      <c r="E54" s="35"/>
    </row>
    <row r="55" spans="3:5" ht="5.0999999999999996" customHeight="1" x14ac:dyDescent="0.25">
      <c r="C55" s="42"/>
      <c r="D55" s="42"/>
      <c r="E55" s="42"/>
    </row>
    <row r="56" spans="3:5" ht="5.0999999999999996" customHeight="1" x14ac:dyDescent="0.25"/>
    <row r="57" spans="3:5" ht="5.0999999999999996" customHeight="1" x14ac:dyDescent="0.25">
      <c r="C57" s="42"/>
      <c r="D57" s="42"/>
      <c r="E57" s="42"/>
    </row>
    <row r="58" spans="3:5" ht="5.0999999999999996" customHeight="1" x14ac:dyDescent="0.25"/>
    <row r="59" spans="3:5" ht="5.0999999999999996" customHeight="1" x14ac:dyDescent="0.25">
      <c r="C59" s="42"/>
      <c r="D59" s="42"/>
      <c r="E59" s="42"/>
    </row>
    <row r="60" spans="3:5" ht="5.0999999999999996" customHeight="1" x14ac:dyDescent="0.25"/>
    <row r="61" spans="3:5" ht="5.0999999999999996" customHeight="1" x14ac:dyDescent="0.25">
      <c r="C61" s="42"/>
      <c r="D61" s="42"/>
      <c r="E61" s="42"/>
    </row>
    <row r="62" spans="3:5" ht="5.0999999999999996" customHeight="1" x14ac:dyDescent="0.25"/>
    <row r="63" spans="3:5" ht="5.0999999999999996" customHeight="1" x14ac:dyDescent="0.25">
      <c r="C63" s="42"/>
      <c r="D63" s="42"/>
      <c r="E63" s="42"/>
    </row>
    <row r="64" spans="3:5" ht="5.0999999999999996" customHeight="1" x14ac:dyDescent="0.25"/>
    <row r="65" spans="3:5" ht="5.0999999999999996" customHeight="1" x14ac:dyDescent="0.25">
      <c r="C65" s="42"/>
      <c r="D65" s="42"/>
      <c r="E65" s="42"/>
    </row>
    <row r="66" spans="3:5" ht="5.0999999999999996" customHeight="1" x14ac:dyDescent="0.25"/>
    <row r="67" spans="3:5" ht="5.0999999999999996" customHeight="1" x14ac:dyDescent="0.25">
      <c r="C67" s="42"/>
      <c r="D67" s="42"/>
      <c r="E67" s="42"/>
    </row>
    <row r="68" spans="3:5" ht="5.0999999999999996" customHeight="1" x14ac:dyDescent="0.25"/>
    <row r="69" spans="3:5" ht="5.0999999999999996" customHeight="1" x14ac:dyDescent="0.25">
      <c r="C69" s="42"/>
      <c r="D69" s="42"/>
      <c r="E69" s="42"/>
    </row>
    <row r="70" spans="3:5" ht="5.0999999999999996" customHeight="1" x14ac:dyDescent="0.25"/>
    <row r="71" spans="3:5" ht="5.0999999999999996" customHeight="1" x14ac:dyDescent="0.25">
      <c r="C71" s="42"/>
      <c r="D71" s="42"/>
      <c r="E71" s="42"/>
    </row>
    <row r="72" spans="3:5" ht="5.0999999999999996" customHeight="1" x14ac:dyDescent="0.25"/>
    <row r="73" spans="3:5" ht="5.0999999999999996" customHeight="1" x14ac:dyDescent="0.25">
      <c r="C73" s="42"/>
      <c r="D73" s="42"/>
      <c r="E73" s="42"/>
    </row>
  </sheetData>
  <sheetProtection sheet="1" selectLockedCells="1"/>
  <mergeCells count="53">
    <mergeCell ref="C3:R3"/>
    <mergeCell ref="N11:Q11"/>
    <mergeCell ref="J27:J29"/>
    <mergeCell ref="R27:R29"/>
    <mergeCell ref="K27:K30"/>
    <mergeCell ref="L28:P31"/>
    <mergeCell ref="G10:M10"/>
    <mergeCell ref="G11:M11"/>
    <mergeCell ref="G12:R15"/>
    <mergeCell ref="G16:R16"/>
    <mergeCell ref="G8:R8"/>
    <mergeCell ref="G9:M9"/>
    <mergeCell ref="N9:Q9"/>
    <mergeCell ref="N10:Q10"/>
    <mergeCell ref="C4:R4"/>
    <mergeCell ref="C53:E53"/>
    <mergeCell ref="C47:E47"/>
    <mergeCell ref="C49:E49"/>
    <mergeCell ref="C51:E51"/>
    <mergeCell ref="C43:E43"/>
    <mergeCell ref="C45:E45"/>
    <mergeCell ref="C33:E33"/>
    <mergeCell ref="C35:E35"/>
    <mergeCell ref="J25:R25"/>
    <mergeCell ref="K33:Q33"/>
    <mergeCell ref="I31:I32"/>
    <mergeCell ref="L32:M32"/>
    <mergeCell ref="O32:P32"/>
    <mergeCell ref="C26:E26"/>
    <mergeCell ref="C29:E29"/>
    <mergeCell ref="C31:E31"/>
    <mergeCell ref="K31:K32"/>
    <mergeCell ref="Q31:Q32"/>
    <mergeCell ref="C25:E25"/>
    <mergeCell ref="C27:E27"/>
    <mergeCell ref="K26:Q26"/>
    <mergeCell ref="Q27:Q30"/>
    <mergeCell ref="S31:S32"/>
    <mergeCell ref="A6:A20"/>
    <mergeCell ref="C71:E71"/>
    <mergeCell ref="C73:E73"/>
    <mergeCell ref="K34:Q36"/>
    <mergeCell ref="C61:E61"/>
    <mergeCell ref="C63:E63"/>
    <mergeCell ref="C65:E65"/>
    <mergeCell ref="C67:E67"/>
    <mergeCell ref="C69:E69"/>
    <mergeCell ref="C37:E37"/>
    <mergeCell ref="C39:E39"/>
    <mergeCell ref="C41:E41"/>
    <mergeCell ref="C57:E57"/>
    <mergeCell ref="C59:E59"/>
    <mergeCell ref="C55:E55"/>
  </mergeCells>
  <conditionalFormatting sqref="E47">
    <cfRule type="expression" dxfId="60" priority="41">
      <formula>D17&gt;10</formula>
    </cfRule>
    <cfRule type="expression" dxfId="59" priority="43">
      <formula>"d9=11"</formula>
    </cfRule>
  </conditionalFormatting>
  <conditionalFormatting sqref="E49">
    <cfRule type="expression" dxfId="58" priority="40">
      <formula>D17&gt;11</formula>
    </cfRule>
  </conditionalFormatting>
  <conditionalFormatting sqref="E51">
    <cfRule type="expression" dxfId="57" priority="39">
      <formula>D17&gt;12</formula>
    </cfRule>
  </conditionalFormatting>
  <conditionalFormatting sqref="E53">
    <cfRule type="expression" dxfId="56" priority="38">
      <formula>D17&gt;13</formula>
    </cfRule>
  </conditionalFormatting>
  <conditionalFormatting sqref="E55">
    <cfRule type="expression" dxfId="55" priority="37">
      <formula>D17&gt;14</formula>
    </cfRule>
  </conditionalFormatting>
  <conditionalFormatting sqref="C10">
    <cfRule type="expression" dxfId="54" priority="2">
      <formula xml:space="preserve"> $C$10="Error to Steep!"</formula>
    </cfRule>
  </conditionalFormatting>
  <conditionalFormatting sqref="C27">
    <cfRule type="expression" dxfId="53" priority="146">
      <formula>D17&gt;0</formula>
    </cfRule>
    <cfRule type="expression" dxfId="52" priority="147">
      <formula>D17&gt;0</formula>
    </cfRule>
    <cfRule type="expression" dxfId="51" priority="148">
      <formula>"c5&gt;"""""</formula>
    </cfRule>
  </conditionalFormatting>
  <conditionalFormatting sqref="C29">
    <cfRule type="expression" dxfId="50" priority="149">
      <formula>D17&gt;1</formula>
    </cfRule>
  </conditionalFormatting>
  <conditionalFormatting sqref="C31">
    <cfRule type="expression" dxfId="49" priority="150">
      <formula>D17&gt;2</formula>
    </cfRule>
  </conditionalFormatting>
  <conditionalFormatting sqref="C33">
    <cfRule type="expression" dxfId="48" priority="151">
      <formula>D17&gt;3</formula>
    </cfRule>
  </conditionalFormatting>
  <conditionalFormatting sqref="C35">
    <cfRule type="expression" dxfId="47" priority="152">
      <formula>D17&gt;4</formula>
    </cfRule>
  </conditionalFormatting>
  <conditionalFormatting sqref="C37">
    <cfRule type="expression" dxfId="46" priority="153">
      <formula>D17&gt;5</formula>
    </cfRule>
  </conditionalFormatting>
  <conditionalFormatting sqref="C39">
    <cfRule type="expression" dxfId="45" priority="154">
      <formula>D17&gt;6</formula>
    </cfRule>
  </conditionalFormatting>
  <conditionalFormatting sqref="C43">
    <cfRule type="expression" dxfId="44" priority="155">
      <formula>D17&gt;8</formula>
    </cfRule>
  </conditionalFormatting>
  <conditionalFormatting sqref="C45">
    <cfRule type="expression" dxfId="43" priority="156">
      <formula>D17&gt;9</formula>
    </cfRule>
  </conditionalFormatting>
  <conditionalFormatting sqref="E27">
    <cfRule type="expression" dxfId="42" priority="157">
      <formula>$D$17&gt;0</formula>
    </cfRule>
    <cfRule type="expression" dxfId="41" priority="158">
      <formula>F15&gt;0</formula>
    </cfRule>
    <cfRule type="expression" dxfId="40" priority="159">
      <formula>F15&gt;0</formula>
    </cfRule>
    <cfRule type="expression" dxfId="39" priority="160">
      <formula>F15&gt;0</formula>
    </cfRule>
  </conditionalFormatting>
  <conditionalFormatting sqref="C27:D27">
    <cfRule type="expression" dxfId="38" priority="161">
      <formula>$D$17&gt;0</formula>
    </cfRule>
    <cfRule type="expression" dxfId="37" priority="162">
      <formula>D17&gt;0</formula>
    </cfRule>
    <cfRule type="expression" dxfId="36" priority="163">
      <formula>D17&gt;0</formula>
    </cfRule>
    <cfRule type="expression" dxfId="35" priority="164">
      <formula>D17&gt;0</formula>
    </cfRule>
  </conditionalFormatting>
  <conditionalFormatting sqref="C29:E29">
    <cfRule type="expression" dxfId="34" priority="165">
      <formula>$D$17&gt;1</formula>
    </cfRule>
  </conditionalFormatting>
  <conditionalFormatting sqref="C31:E31">
    <cfRule type="expression" dxfId="33" priority="166">
      <formula>$D$17&gt;2</formula>
    </cfRule>
  </conditionalFormatting>
  <conditionalFormatting sqref="C33:E33">
    <cfRule type="expression" dxfId="32" priority="167">
      <formula>$D$17&gt;3</formula>
    </cfRule>
  </conditionalFormatting>
  <conditionalFormatting sqref="C35:E35">
    <cfRule type="expression" dxfId="31" priority="168">
      <formula>$D$17&gt;4</formula>
    </cfRule>
  </conditionalFormatting>
  <conditionalFormatting sqref="C37:E37">
    <cfRule type="expression" dxfId="30" priority="169">
      <formula>$D$17&gt;5</formula>
    </cfRule>
  </conditionalFormatting>
  <conditionalFormatting sqref="C39:E39">
    <cfRule type="expression" dxfId="29" priority="170">
      <formula>$D$17&gt;6</formula>
    </cfRule>
  </conditionalFormatting>
  <conditionalFormatting sqref="C43:E43">
    <cfRule type="expression" dxfId="28" priority="171">
      <formula>$D$17&gt;8</formula>
    </cfRule>
  </conditionalFormatting>
  <conditionalFormatting sqref="C45:E45">
    <cfRule type="expression" dxfId="27" priority="172">
      <formula>$D$17&gt;9</formula>
    </cfRule>
  </conditionalFormatting>
  <conditionalFormatting sqref="C41:E41">
    <cfRule type="expression" dxfId="26" priority="173">
      <formula>$D$17&gt;7</formula>
    </cfRule>
  </conditionalFormatting>
  <conditionalFormatting sqref="C47:D47">
    <cfRule type="expression" dxfId="25" priority="174">
      <formula>D17&gt;10</formula>
    </cfRule>
    <cfRule type="expression" dxfId="24" priority="175">
      <formula>"d9=11"</formula>
    </cfRule>
  </conditionalFormatting>
  <conditionalFormatting sqref="C49:D49">
    <cfRule type="expression" dxfId="23" priority="176">
      <formula>D17&gt;11</formula>
    </cfRule>
  </conditionalFormatting>
  <conditionalFormatting sqref="C51:D51">
    <cfRule type="expression" dxfId="22" priority="177">
      <formula>D17&gt;12</formula>
    </cfRule>
  </conditionalFormatting>
  <conditionalFormatting sqref="C53:D53">
    <cfRule type="expression" dxfId="21" priority="178">
      <formula>D17&gt;13</formula>
    </cfRule>
  </conditionalFormatting>
  <conditionalFormatting sqref="C55:D55">
    <cfRule type="expression" dxfId="20" priority="179">
      <formula>D17&gt;14</formula>
    </cfRule>
  </conditionalFormatting>
  <conditionalFormatting sqref="C57:E57">
    <cfRule type="expression" dxfId="19" priority="180">
      <formula>$D$17&gt;15</formula>
    </cfRule>
  </conditionalFormatting>
  <conditionalFormatting sqref="C59:E59">
    <cfRule type="expression" dxfId="18" priority="181">
      <formula>$D$17&gt;16</formula>
    </cfRule>
  </conditionalFormatting>
  <conditionalFormatting sqref="C61:E61">
    <cfRule type="expression" dxfId="17" priority="182">
      <formula>$D$17&gt;17</formula>
    </cfRule>
  </conditionalFormatting>
  <conditionalFormatting sqref="C63:E63">
    <cfRule type="expression" dxfId="16" priority="183">
      <formula>$D$17&gt;18</formula>
    </cfRule>
  </conditionalFormatting>
  <conditionalFormatting sqref="C65:E65">
    <cfRule type="expression" dxfId="15" priority="184">
      <formula>$D$17&gt;19</formula>
    </cfRule>
  </conditionalFormatting>
  <conditionalFormatting sqref="C67:E67">
    <cfRule type="expression" dxfId="14" priority="185">
      <formula>$D$17&gt;20</formula>
    </cfRule>
  </conditionalFormatting>
  <conditionalFormatting sqref="C69:E69">
    <cfRule type="expression" dxfId="13" priority="186">
      <formula>$D$17&gt;21</formula>
    </cfRule>
  </conditionalFormatting>
  <conditionalFormatting sqref="C71:E71">
    <cfRule type="expression" dxfId="12" priority="187">
      <formula>$D$17&gt;22</formula>
    </cfRule>
  </conditionalFormatting>
  <conditionalFormatting sqref="C73:E73">
    <cfRule type="expression" dxfId="11" priority="188">
      <formula>$D$17&gt;23</formula>
    </cfRule>
  </conditionalFormatting>
  <conditionalFormatting sqref="J32">
    <cfRule type="expression" dxfId="10" priority="189">
      <formula>AND($D$10=0, $D$21&gt;$D$20)</formula>
    </cfRule>
  </conditionalFormatting>
  <conditionalFormatting sqref="I31:I32">
    <cfRule type="expression" dxfId="9" priority="190">
      <formula>AND($D$10=0,$D$21&gt;$D$20)</formula>
    </cfRule>
  </conditionalFormatting>
  <conditionalFormatting sqref="S31:S32">
    <cfRule type="expression" dxfId="8" priority="191">
      <formula>AND($D$10&gt;=0,$D$21&gt;$D$20)</formula>
    </cfRule>
    <cfRule type="expression" dxfId="7" priority="192">
      <formula>$D$21&gt;$D$20</formula>
    </cfRule>
  </conditionalFormatting>
  <conditionalFormatting sqref="K31:K32">
    <cfRule type="expression" dxfId="6" priority="193">
      <formula>OR($D$10&gt;0,$D$20&gt;=$D$21)</formula>
    </cfRule>
    <cfRule type="expression" dxfId="5" priority="194">
      <formula>$D$10&gt;0</formula>
    </cfRule>
  </conditionalFormatting>
  <conditionalFormatting sqref="J30">
    <cfRule type="expression" dxfId="4" priority="195">
      <formula>AND($D$10=0,$D$21&gt;$D$20)</formula>
    </cfRule>
  </conditionalFormatting>
  <conditionalFormatting sqref="Q31:Q32">
    <cfRule type="expression" dxfId="3" priority="196">
      <formula>AND($D$10&lt;5,$D$20&gt;=$D$21)</formula>
    </cfRule>
    <cfRule type="expression" dxfId="2" priority="197">
      <formula>$D$21&lt;=$D$20</formula>
    </cfRule>
  </conditionalFormatting>
  <conditionalFormatting sqref="R32">
    <cfRule type="expression" dxfId="1" priority="198">
      <formula>AND($D$10&gt;=0,$D$21&gt;$D$20)</formula>
    </cfRule>
    <cfRule type="expression" priority="199">
      <formula>OR($D$21&gt;$D$20,$D$10&gt;=0)</formula>
    </cfRule>
  </conditionalFormatting>
  <conditionalFormatting sqref="R30">
    <cfRule type="expression" dxfId="0" priority="200">
      <formula>$D$21&gt;$D$20</formula>
    </cfRule>
  </conditionalFormatting>
  <dataValidations disablePrompts="1" count="5">
    <dataValidation type="list" allowBlank="1" showInputMessage="1" showErrorMessage="1" sqref="D11" xr:uid="{00000000-0002-0000-0000-000001000000}">
      <formula1>RowLength</formula1>
    </dataValidation>
    <dataValidation type="list" allowBlank="1" showInputMessage="1" showErrorMessage="1" sqref="D10" xr:uid="{00000000-0002-0000-0000-000002000000}">
      <formula1>SystemSlope</formula1>
    </dataValidation>
    <dataValidation type="decimal" allowBlank="1" showInputMessage="1" showErrorMessage="1" sqref="D8" xr:uid="{BE108402-770F-43C8-8195-612B64852A8E}">
      <formula1>0.1</formula1>
      <formula2>1.2</formula2>
    </dataValidation>
    <dataValidation type="list" allowBlank="1" showInputMessage="1" showErrorMessage="1" sqref="D6" xr:uid="{310A738C-87D0-4597-B4E2-378C88C29E5C}">
      <formula1>"Y,N"</formula1>
    </dataValidation>
    <dataValidation type="decimal" allowBlank="1" showInputMessage="1" showErrorMessage="1" error="Must be 1.5' or greater!" sqref="D12" xr:uid="{30C70BCD-47FC-49A7-B1CF-0318EB0EFBB7}">
      <formula1>1.5</formula1>
      <formula2>5</formula2>
    </dataValidation>
  </dataValidations>
  <hyperlinks>
    <hyperlink ref="G16:R16" r:id="rId1" display="Request a Quotation" xr:uid="{ADD6CAD4-C66B-482A-8AF1-260FCB7C49C0}"/>
  </hyperlinks>
  <printOptions horizontalCentered="1"/>
  <pageMargins left="0.7" right="0.7" top="0.75" bottom="0.75" header="0.3" footer="0.3"/>
  <pageSetup orientation="portrait" horizontalDpi="200" verticalDpi="200" r:id="rId2"/>
  <ignoredErrors>
    <ignoredError sqref="N9:N11" unlockedFormula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B10"/>
  <sheetViews>
    <sheetView workbookViewId="0">
      <selection activeCell="A2" sqref="A2"/>
    </sheetView>
  </sheetViews>
  <sheetFormatPr defaultRowHeight="15" x14ac:dyDescent="0.25"/>
  <cols>
    <col min="1" max="1" width="10" bestFit="1" customWidth="1"/>
  </cols>
  <sheetData>
    <row r="1" spans="1:2" x14ac:dyDescent="0.25">
      <c r="A1" s="9" t="s">
        <v>18</v>
      </c>
      <c r="B1" s="9" t="s">
        <v>9</v>
      </c>
    </row>
    <row r="2" spans="1:2" x14ac:dyDescent="0.25">
      <c r="A2">
        <v>2</v>
      </c>
      <c r="B2">
        <v>240</v>
      </c>
    </row>
    <row r="3" spans="1:2" x14ac:dyDescent="0.25">
      <c r="A3">
        <v>3</v>
      </c>
      <c r="B3">
        <v>360</v>
      </c>
    </row>
    <row r="4" spans="1:2" x14ac:dyDescent="0.25">
      <c r="A4">
        <v>4</v>
      </c>
      <c r="B4">
        <v>480</v>
      </c>
    </row>
    <row r="5" spans="1:2" x14ac:dyDescent="0.25">
      <c r="A5">
        <v>5</v>
      </c>
      <c r="B5">
        <v>600</v>
      </c>
    </row>
    <row r="6" spans="1:2" x14ac:dyDescent="0.25">
      <c r="A6">
        <v>6</v>
      </c>
      <c r="B6">
        <v>720</v>
      </c>
    </row>
    <row r="7" spans="1:2" x14ac:dyDescent="0.25">
      <c r="A7">
        <v>7</v>
      </c>
      <c r="B7">
        <v>840</v>
      </c>
    </row>
    <row r="8" spans="1:2" x14ac:dyDescent="0.25">
      <c r="A8">
        <v>8</v>
      </c>
      <c r="B8">
        <v>960</v>
      </c>
    </row>
    <row r="9" spans="1:2" x14ac:dyDescent="0.25">
      <c r="A9">
        <v>9</v>
      </c>
      <c r="B9">
        <v>1080</v>
      </c>
    </row>
    <row r="10" spans="1:2" x14ac:dyDescent="0.25">
      <c r="A10">
        <v>10</v>
      </c>
      <c r="B10">
        <v>1200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76"/>
  <sheetViews>
    <sheetView workbookViewId="0">
      <selection activeCell="A2" sqref="A2"/>
    </sheetView>
  </sheetViews>
  <sheetFormatPr defaultRowHeight="15" x14ac:dyDescent="0.25"/>
  <sheetData>
    <row r="1" spans="1:1" x14ac:dyDescent="0.25">
      <c r="A1">
        <v>25</v>
      </c>
    </row>
    <row r="2" spans="1:1" x14ac:dyDescent="0.25">
      <c r="A2">
        <v>26</v>
      </c>
    </row>
    <row r="3" spans="1:1" x14ac:dyDescent="0.25">
      <c r="A3">
        <v>27</v>
      </c>
    </row>
    <row r="4" spans="1:1" x14ac:dyDescent="0.25">
      <c r="A4">
        <v>28</v>
      </c>
    </row>
    <row r="5" spans="1:1" x14ac:dyDescent="0.25">
      <c r="A5">
        <v>29</v>
      </c>
    </row>
    <row r="6" spans="1:1" x14ac:dyDescent="0.25">
      <c r="A6">
        <v>30</v>
      </c>
    </row>
    <row r="7" spans="1:1" x14ac:dyDescent="0.25">
      <c r="A7">
        <v>31</v>
      </c>
    </row>
    <row r="8" spans="1:1" x14ac:dyDescent="0.25">
      <c r="A8">
        <v>32</v>
      </c>
    </row>
    <row r="9" spans="1:1" x14ac:dyDescent="0.25">
      <c r="A9">
        <v>33</v>
      </c>
    </row>
    <row r="10" spans="1:1" x14ac:dyDescent="0.25">
      <c r="A10">
        <v>34</v>
      </c>
    </row>
    <row r="11" spans="1:1" x14ac:dyDescent="0.25">
      <c r="A11">
        <v>35</v>
      </c>
    </row>
    <row r="12" spans="1:1" x14ac:dyDescent="0.25">
      <c r="A12">
        <v>36</v>
      </c>
    </row>
    <row r="13" spans="1:1" x14ac:dyDescent="0.25">
      <c r="A13">
        <v>37</v>
      </c>
    </row>
    <row r="14" spans="1:1" x14ac:dyDescent="0.25">
      <c r="A14">
        <v>38</v>
      </c>
    </row>
    <row r="15" spans="1:1" x14ac:dyDescent="0.25">
      <c r="A15">
        <v>39</v>
      </c>
    </row>
    <row r="16" spans="1:1" x14ac:dyDescent="0.25">
      <c r="A16">
        <v>40</v>
      </c>
    </row>
    <row r="17" spans="1:1" x14ac:dyDescent="0.25">
      <c r="A17">
        <v>41</v>
      </c>
    </row>
    <row r="18" spans="1:1" x14ac:dyDescent="0.25">
      <c r="A18">
        <v>42</v>
      </c>
    </row>
    <row r="19" spans="1:1" x14ac:dyDescent="0.25">
      <c r="A19">
        <v>43</v>
      </c>
    </row>
    <row r="20" spans="1:1" x14ac:dyDescent="0.25">
      <c r="A20">
        <v>44</v>
      </c>
    </row>
    <row r="21" spans="1:1" x14ac:dyDescent="0.25">
      <c r="A21">
        <v>45</v>
      </c>
    </row>
    <row r="22" spans="1:1" x14ac:dyDescent="0.25">
      <c r="A22">
        <v>46</v>
      </c>
    </row>
    <row r="23" spans="1:1" x14ac:dyDescent="0.25">
      <c r="A23">
        <v>47</v>
      </c>
    </row>
    <row r="24" spans="1:1" x14ac:dyDescent="0.25">
      <c r="A24">
        <v>48</v>
      </c>
    </row>
    <row r="25" spans="1:1" x14ac:dyDescent="0.25">
      <c r="A25">
        <v>49</v>
      </c>
    </row>
    <row r="26" spans="1:1" x14ac:dyDescent="0.25">
      <c r="A26">
        <v>50</v>
      </c>
    </row>
    <row r="27" spans="1:1" x14ac:dyDescent="0.25">
      <c r="A27">
        <v>51</v>
      </c>
    </row>
    <row r="28" spans="1:1" x14ac:dyDescent="0.25">
      <c r="A28">
        <v>52</v>
      </c>
    </row>
    <row r="29" spans="1:1" x14ac:dyDescent="0.25">
      <c r="A29">
        <v>53</v>
      </c>
    </row>
    <row r="30" spans="1:1" x14ac:dyDescent="0.25">
      <c r="A30">
        <v>54</v>
      </c>
    </row>
    <row r="31" spans="1:1" x14ac:dyDescent="0.25">
      <c r="A31">
        <v>55</v>
      </c>
    </row>
    <row r="32" spans="1:1" x14ac:dyDescent="0.25">
      <c r="A32">
        <v>56</v>
      </c>
    </row>
    <row r="33" spans="1:1" x14ac:dyDescent="0.25">
      <c r="A33">
        <v>57</v>
      </c>
    </row>
    <row r="34" spans="1:1" x14ac:dyDescent="0.25">
      <c r="A34">
        <v>58</v>
      </c>
    </row>
    <row r="35" spans="1:1" x14ac:dyDescent="0.25">
      <c r="A35">
        <v>59</v>
      </c>
    </row>
    <row r="36" spans="1:1" x14ac:dyDescent="0.25">
      <c r="A36">
        <v>60</v>
      </c>
    </row>
    <row r="37" spans="1:1" x14ac:dyDescent="0.25">
      <c r="A37">
        <v>61</v>
      </c>
    </row>
    <row r="38" spans="1:1" x14ac:dyDescent="0.25">
      <c r="A38">
        <v>62</v>
      </c>
    </row>
    <row r="39" spans="1:1" x14ac:dyDescent="0.25">
      <c r="A39">
        <v>63</v>
      </c>
    </row>
    <row r="40" spans="1:1" x14ac:dyDescent="0.25">
      <c r="A40">
        <v>64</v>
      </c>
    </row>
    <row r="41" spans="1:1" x14ac:dyDescent="0.25">
      <c r="A41">
        <v>65</v>
      </c>
    </row>
    <row r="42" spans="1:1" x14ac:dyDescent="0.25">
      <c r="A42">
        <v>66</v>
      </c>
    </row>
    <row r="43" spans="1:1" x14ac:dyDescent="0.25">
      <c r="A43">
        <v>67</v>
      </c>
    </row>
    <row r="44" spans="1:1" x14ac:dyDescent="0.25">
      <c r="A44">
        <v>68</v>
      </c>
    </row>
    <row r="45" spans="1:1" x14ac:dyDescent="0.25">
      <c r="A45">
        <v>69</v>
      </c>
    </row>
    <row r="46" spans="1:1" x14ac:dyDescent="0.25">
      <c r="A46">
        <v>70</v>
      </c>
    </row>
    <row r="47" spans="1:1" x14ac:dyDescent="0.25">
      <c r="A47">
        <v>71</v>
      </c>
    </row>
    <row r="48" spans="1:1" x14ac:dyDescent="0.25">
      <c r="A48">
        <v>72</v>
      </c>
    </row>
    <row r="49" spans="1:1" x14ac:dyDescent="0.25">
      <c r="A49">
        <v>73</v>
      </c>
    </row>
    <row r="50" spans="1:1" x14ac:dyDescent="0.25">
      <c r="A50">
        <v>74</v>
      </c>
    </row>
    <row r="51" spans="1:1" x14ac:dyDescent="0.25">
      <c r="A51">
        <v>75</v>
      </c>
    </row>
    <row r="52" spans="1:1" x14ac:dyDescent="0.25">
      <c r="A52">
        <v>76</v>
      </c>
    </row>
    <row r="53" spans="1:1" x14ac:dyDescent="0.25">
      <c r="A53">
        <v>77</v>
      </c>
    </row>
    <row r="54" spans="1:1" x14ac:dyDescent="0.25">
      <c r="A54">
        <v>78</v>
      </c>
    </row>
    <row r="55" spans="1:1" x14ac:dyDescent="0.25">
      <c r="A55">
        <v>79</v>
      </c>
    </row>
    <row r="56" spans="1:1" x14ac:dyDescent="0.25">
      <c r="A56">
        <v>80</v>
      </c>
    </row>
    <row r="57" spans="1:1" x14ac:dyDescent="0.25">
      <c r="A57">
        <v>81</v>
      </c>
    </row>
    <row r="58" spans="1:1" x14ac:dyDescent="0.25">
      <c r="A58">
        <v>82</v>
      </c>
    </row>
    <row r="59" spans="1:1" x14ac:dyDescent="0.25">
      <c r="A59">
        <v>83</v>
      </c>
    </row>
    <row r="60" spans="1:1" x14ac:dyDescent="0.25">
      <c r="A60">
        <v>84</v>
      </c>
    </row>
    <row r="61" spans="1:1" x14ac:dyDescent="0.25">
      <c r="A61">
        <v>85</v>
      </c>
    </row>
    <row r="62" spans="1:1" x14ac:dyDescent="0.25">
      <c r="A62">
        <v>86</v>
      </c>
    </row>
    <row r="63" spans="1:1" x14ac:dyDescent="0.25">
      <c r="A63">
        <v>87</v>
      </c>
    </row>
    <row r="64" spans="1:1" x14ac:dyDescent="0.25">
      <c r="A64">
        <v>88</v>
      </c>
    </row>
    <row r="65" spans="1:1" x14ac:dyDescent="0.25">
      <c r="A65">
        <v>89</v>
      </c>
    </row>
    <row r="66" spans="1:1" x14ac:dyDescent="0.25">
      <c r="A66">
        <v>90</v>
      </c>
    </row>
    <row r="67" spans="1:1" x14ac:dyDescent="0.25">
      <c r="A67">
        <v>91</v>
      </c>
    </row>
    <row r="68" spans="1:1" x14ac:dyDescent="0.25">
      <c r="A68">
        <v>92</v>
      </c>
    </row>
    <row r="69" spans="1:1" x14ac:dyDescent="0.25">
      <c r="A69">
        <v>93</v>
      </c>
    </row>
    <row r="70" spans="1:1" x14ac:dyDescent="0.25">
      <c r="A70">
        <v>94</v>
      </c>
    </row>
    <row r="71" spans="1:1" x14ac:dyDescent="0.25">
      <c r="A71">
        <v>95</v>
      </c>
    </row>
    <row r="72" spans="1:1" x14ac:dyDescent="0.25">
      <c r="A72">
        <v>96</v>
      </c>
    </row>
    <row r="73" spans="1:1" x14ac:dyDescent="0.25">
      <c r="A73">
        <v>97</v>
      </c>
    </row>
    <row r="74" spans="1:1" x14ac:dyDescent="0.25">
      <c r="A74">
        <v>98</v>
      </c>
    </row>
    <row r="75" spans="1:1" x14ac:dyDescent="0.25">
      <c r="A75">
        <v>99</v>
      </c>
    </row>
    <row r="76" spans="1:1" x14ac:dyDescent="0.25">
      <c r="A76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6"/>
  <sheetViews>
    <sheetView workbookViewId="0">
      <selection activeCell="A2" sqref="A2"/>
    </sheetView>
  </sheetViews>
  <sheetFormatPr defaultRowHeight="15" x14ac:dyDescent="0.25"/>
  <sheetData>
    <row r="1" spans="1:1" x14ac:dyDescent="0.25">
      <c r="A1">
        <v>0</v>
      </c>
    </row>
    <row r="2" spans="1:1" x14ac:dyDescent="0.25">
      <c r="A2">
        <v>1</v>
      </c>
    </row>
    <row r="3" spans="1:1" x14ac:dyDescent="0.25">
      <c r="A3">
        <v>2</v>
      </c>
    </row>
    <row r="4" spans="1:1" x14ac:dyDescent="0.25">
      <c r="A4">
        <v>3</v>
      </c>
    </row>
    <row r="5" spans="1:1" x14ac:dyDescent="0.25">
      <c r="A5">
        <v>4</v>
      </c>
    </row>
    <row r="6" spans="1:1" x14ac:dyDescent="0.25">
      <c r="A6">
        <v>5</v>
      </c>
    </row>
    <row r="7" spans="1:1" x14ac:dyDescent="0.25">
      <c r="A7">
        <v>6</v>
      </c>
    </row>
    <row r="8" spans="1:1" x14ac:dyDescent="0.25">
      <c r="A8">
        <v>7</v>
      </c>
    </row>
    <row r="9" spans="1:1" x14ac:dyDescent="0.25">
      <c r="A9">
        <v>8</v>
      </c>
    </row>
    <row r="10" spans="1:1" x14ac:dyDescent="0.25">
      <c r="A10">
        <v>9</v>
      </c>
    </row>
    <row r="11" spans="1:1" x14ac:dyDescent="0.25">
      <c r="A11">
        <v>10</v>
      </c>
    </row>
    <row r="12" spans="1:1" x14ac:dyDescent="0.25">
      <c r="A12">
        <v>11</v>
      </c>
    </row>
    <row r="13" spans="1:1" x14ac:dyDescent="0.25">
      <c r="A13">
        <v>12</v>
      </c>
    </row>
    <row r="14" spans="1:1" x14ac:dyDescent="0.25">
      <c r="A14">
        <v>13</v>
      </c>
    </row>
    <row r="15" spans="1:1" x14ac:dyDescent="0.25">
      <c r="A15">
        <v>14</v>
      </c>
    </row>
    <row r="16" spans="1:1" x14ac:dyDescent="0.25">
      <c r="A16">
        <v>15</v>
      </c>
    </row>
    <row r="17" spans="1:1" x14ac:dyDescent="0.25">
      <c r="A17">
        <v>16</v>
      </c>
    </row>
    <row r="18" spans="1:1" x14ac:dyDescent="0.25">
      <c r="A18">
        <v>17</v>
      </c>
    </row>
    <row r="19" spans="1:1" x14ac:dyDescent="0.25">
      <c r="A19">
        <v>18</v>
      </c>
    </row>
    <row r="20" spans="1:1" x14ac:dyDescent="0.25">
      <c r="A20">
        <v>19</v>
      </c>
    </row>
    <row r="21" spans="1:1" x14ac:dyDescent="0.25">
      <c r="A21">
        <v>20</v>
      </c>
    </row>
    <row r="22" spans="1:1" x14ac:dyDescent="0.25">
      <c r="A22">
        <v>21</v>
      </c>
    </row>
    <row r="23" spans="1:1" x14ac:dyDescent="0.25">
      <c r="A23">
        <v>22</v>
      </c>
    </row>
    <row r="24" spans="1:1" x14ac:dyDescent="0.25">
      <c r="A24">
        <v>23</v>
      </c>
    </row>
    <row r="25" spans="1:1" x14ac:dyDescent="0.25">
      <c r="A25">
        <v>24</v>
      </c>
    </row>
    <row r="26" spans="1:1" x14ac:dyDescent="0.25">
      <c r="A26">
        <v>25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9120616-4a8f-45bd-b06e-509c916ac112">
      <Terms xmlns="http://schemas.microsoft.com/office/infopath/2007/PartnerControls"/>
    </lcf76f155ced4ddcb4097134ff3c332f>
    <TaxCatchAll xmlns="d4e4da4f-a0e3-4b3b-bde7-e8fb2207d2c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1B5C840624BDD4D87F134000C244D44" ma:contentTypeVersion="25" ma:contentTypeDescription="Create a new document." ma:contentTypeScope="" ma:versionID="723eee4425924f5bd7de4f00e5058874">
  <xsd:schema xmlns:xsd="http://www.w3.org/2001/XMLSchema" xmlns:xs="http://www.w3.org/2001/XMLSchema" xmlns:p="http://schemas.microsoft.com/office/2006/metadata/properties" xmlns:ns2="69120616-4a8f-45bd-b06e-509c916ac112" xmlns:ns3="d4e4da4f-a0e3-4b3b-bde7-e8fb2207d2ce" targetNamespace="http://schemas.microsoft.com/office/2006/metadata/properties" ma:root="true" ma:fieldsID="dcf08ab79f6f1de6d79d8f02705d02af" ns2:_="" ns3:_="">
    <xsd:import namespace="69120616-4a8f-45bd-b06e-509c916ac112"/>
    <xsd:import namespace="d4e4da4f-a0e3-4b3b-bde7-e8fb2207d2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120616-4a8f-45bd-b06e-509c916ac1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864339e1-a024-4bf1-9a5b-b5f89841db7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e4da4f-a0e3-4b3b-bde7-e8fb2207d2ce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4c82b7ca-88c6-46f1-b6e4-3ceb241b0aa0}" ma:internalName="TaxCatchAll" ma:showField="CatchAllData" ma:web="d4e4da4f-a0e3-4b3b-bde7-e8fb2207d2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7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27B6128-951C-491B-BA56-9E32EAD4B5B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DED62354-438A-45FC-875B-E0798C11CC64}"/>
</file>

<file path=customXml/itemProps3.xml><?xml version="1.0" encoding="utf-8"?>
<ds:datastoreItem xmlns:ds="http://schemas.openxmlformats.org/officeDocument/2006/customXml" ds:itemID="{09392AF5-BDBB-4CE6-B33E-F1DB45A493B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15</vt:i4>
      </vt:variant>
    </vt:vector>
  </HeadingPairs>
  <TitlesOfParts>
    <vt:vector size="19" baseType="lpstr">
      <vt:lpstr>Calculator</vt:lpstr>
      <vt:lpstr>GPD</vt:lpstr>
      <vt:lpstr>RowLgth</vt:lpstr>
      <vt:lpstr>Sys % Slope</vt:lpstr>
      <vt:lpstr>DDF</vt:lpstr>
      <vt:lpstr>GPD</vt:lpstr>
      <vt:lpstr>NumRows</vt:lpstr>
      <vt:lpstr>PipeReq</vt:lpstr>
      <vt:lpstr>Calculator!Print_Area</vt:lpstr>
      <vt:lpstr>RowLength</vt:lpstr>
      <vt:lpstr>RowSpacing</vt:lpstr>
      <vt:lpstr>SandBedLength</vt:lpstr>
      <vt:lpstr>SandBedWidth</vt:lpstr>
      <vt:lpstr>SandExt</vt:lpstr>
      <vt:lpstr>SLR</vt:lpstr>
      <vt:lpstr>SSBA_Table</vt:lpstr>
      <vt:lpstr>SSE_Test</vt:lpstr>
      <vt:lpstr>SystemSlope</vt:lpstr>
      <vt:lpstr>TAW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Fogg</dc:creator>
  <cp:lastModifiedBy>Dennis Fogg</cp:lastModifiedBy>
  <cp:lastPrinted>2020-12-05T21:07:09Z</cp:lastPrinted>
  <dcterms:created xsi:type="dcterms:W3CDTF">2014-05-03T13:55:08Z</dcterms:created>
  <dcterms:modified xsi:type="dcterms:W3CDTF">2022-11-02T14:44:53Z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0x010100C1B5C840624BDD4D87F134000C244D44</vt:lpwstr>
  </property>
</Properties>
</file>