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3.xml" ContentType="application/vnd.openxmlformats-officedocument.spreadsheetml.comments+xml"/>
  <Override PartName="/xl/drawings/drawing4.xml" ContentType="application/vnd.openxmlformats-officedocument.drawing+xml"/>
  <Override PartName="/xl/ctrlProps/ctrlProp8.xml" ContentType="application/vnd.ms-excel.controlproperties+xml"/>
  <Override PartName="/xl/comments4.xml" ContentType="application/vnd.openxmlformats-officedocument.spreadsheetml.comment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omments5.xml" ContentType="application/vnd.openxmlformats-officedocument.spreadsheetml.comments+xml"/>
  <Override PartName="/xl/tables/table13.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cdionne\Downloads\UPDATE 5-14-25\"/>
    </mc:Choice>
  </mc:AlternateContent>
  <xr:revisionPtr revIDLastSave="0" documentId="8_{12F33FCB-1439-4307-B8D5-EE84C168BF33}" xr6:coauthVersionLast="47" xr6:coauthVersionMax="47" xr10:uidLastSave="{00000000-0000-0000-0000-000000000000}"/>
  <workbookProtection workbookAlgorithmName="SHA-512" workbookHashValue="A3k/9yQPOjjlQro4QcPSYOH134k+Xyb3htOBooFwGDYSChErSrfuwMhznUFwYhoxgULUU2zgGRzINuV4BgBxlQ==" workbookSaltValue="edP0YS7B+Qtz73CiEy27sA==" workbookSpinCount="100000" lockStructure="1"/>
  <bookViews>
    <workbookView xWindow="28680" yWindow="180" windowWidth="29040" windowHeight="15720" tabRatio="868" xr2:uid="{00000000-000D-0000-FFFF-FFFF00000000}"/>
  </bookViews>
  <sheets>
    <sheet name="Cumulative Volumes Imperial" sheetId="3" r:id="rId1"/>
    <sheet name="Cumulative Volumes Metric" sheetId="19" r:id="rId2"/>
    <sheet name="Imperial Calcs" sheetId="41" state="hidden" r:id="rId3"/>
    <sheet name="Imperial Data" sheetId="40" state="hidden" r:id="rId4"/>
    <sheet name="Metric Calcs" sheetId="43" state="hidden" r:id="rId5"/>
    <sheet name="Metric Data" sheetId="42" state="hidden" r:id="rId6"/>
    <sheet name="Version History" sheetId="44" state="hidden" r:id="rId7"/>
    <sheet name="Pull Downs" sheetId="17" state="hidden" r:id="rId8"/>
  </sheets>
  <definedNames>
    <definedName name="Chambers2">'Pull Downs'!$D$5:$D$12</definedName>
    <definedName name="_xlnm.Print_Area" localSheetId="0">OFFSET('Cumulative Volumes Imperial'!$C$1,0,0,COUNTA('Cumulative Volumes Imperial'!$A$1:$A$202)-COUNTBLANK('Cumulative Volumes Imperial'!$A$1:$A$202),30)</definedName>
    <definedName name="_xlnm.Print_Area" localSheetId="1">OFFSET('Cumulative Volumes Metric'!$C$1,0,0,COUNTA('Cumulative Volumes Metric'!$A$1:$A$202)-COUNTBLANK('Cumulative Volumes Metric'!$A$1:$A$202),30)</definedName>
    <definedName name="stonedepth">'Cumulative Volumes Imperial'!$Y$17:$Y$116</definedName>
  </definedNames>
  <calcPr calcId="191028"/>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24" i="41" l="1"/>
  <c r="Y225" i="41"/>
  <c r="Y226" i="41"/>
  <c r="Y227" i="41"/>
  <c r="Y228" i="41"/>
  <c r="Y229" i="41"/>
  <c r="Y230" i="41"/>
  <c r="Y231" i="41"/>
  <c r="Y232" i="41"/>
  <c r="Y233" i="41"/>
  <c r="Y234" i="41"/>
  <c r="Y235" i="41"/>
  <c r="Y236" i="41"/>
  <c r="Y237" i="41"/>
  <c r="Y238" i="41"/>
  <c r="Y239" i="41"/>
  <c r="Y240" i="41"/>
  <c r="Y241" i="41"/>
  <c r="Y242" i="41"/>
  <c r="Y243" i="41"/>
  <c r="Y244" i="41"/>
  <c r="Y245" i="41"/>
  <c r="Y246" i="41"/>
  <c r="Y247" i="41"/>
  <c r="Y248" i="41"/>
  <c r="Y249" i="41"/>
  <c r="Y250" i="41"/>
  <c r="Y251" i="41"/>
  <c r="Y252" i="41"/>
  <c r="Y253" i="41"/>
  <c r="Y254" i="41"/>
  <c r="Y255" i="41"/>
  <c r="Y256" i="41"/>
  <c r="Y257" i="41"/>
  <c r="Y258" i="41"/>
  <c r="Y259" i="41"/>
  <c r="Y260" i="41"/>
  <c r="Y261" i="41"/>
  <c r="Y262" i="41"/>
  <c r="Y263" i="41"/>
  <c r="Y264" i="41"/>
  <c r="Y265" i="41"/>
  <c r="Y266" i="41"/>
  <c r="Y267" i="41"/>
  <c r="Y268" i="41"/>
  <c r="Y269" i="41"/>
  <c r="Y270" i="41"/>
  <c r="Y271" i="41"/>
  <c r="Y272" i="41"/>
  <c r="Y273" i="41"/>
  <c r="Y274" i="41"/>
  <c r="Y275" i="41"/>
  <c r="Y276" i="41"/>
  <c r="Y277" i="41"/>
  <c r="Y278" i="41"/>
  <c r="Y279" i="41"/>
  <c r="Y280" i="41"/>
  <c r="Y281" i="41"/>
  <c r="Y282" i="41"/>
  <c r="Y283" i="41"/>
  <c r="Y284" i="41"/>
  <c r="Y285" i="41"/>
  <c r="Y286" i="41"/>
  <c r="Y287" i="41"/>
  <c r="Y288" i="41"/>
  <c r="Y289" i="41"/>
  <c r="Y290" i="41"/>
  <c r="Y291" i="41"/>
  <c r="Y292" i="41"/>
  <c r="Y293" i="41"/>
  <c r="Y294" i="41"/>
  <c r="Y295" i="41"/>
  <c r="Y296" i="41"/>
  <c r="Y297" i="41"/>
  <c r="Y298" i="41"/>
  <c r="Y299" i="41"/>
  <c r="Y300" i="41"/>
  <c r="Y301" i="41"/>
  <c r="Y302" i="41"/>
  <c r="Y303" i="41"/>
  <c r="Y304" i="41"/>
  <c r="Y305" i="41"/>
  <c r="Y306" i="41"/>
  <c r="Y307" i="41"/>
  <c r="Y308" i="41"/>
  <c r="Y309" i="41"/>
  <c r="Y310" i="41"/>
  <c r="Y311" i="41"/>
  <c r="Y312" i="41"/>
  <c r="Y313" i="41"/>
  <c r="Y314" i="41"/>
  <c r="Y315" i="41"/>
  <c r="Y316" i="41"/>
  <c r="Y317" i="41"/>
  <c r="Y318" i="41"/>
  <c r="Y319" i="41"/>
  <c r="Y320" i="41"/>
  <c r="Y321" i="41"/>
  <c r="Y322" i="41"/>
  <c r="Y323" i="41"/>
  <c r="Y324" i="41"/>
  <c r="Y325" i="41"/>
  <c r="Y326" i="41"/>
  <c r="Y327" i="41"/>
  <c r="Y328" i="41"/>
  <c r="Y329" i="41"/>
  <c r="Y330" i="41"/>
  <c r="Y331" i="41"/>
  <c r="Y332" i="41"/>
  <c r="Y333" i="41"/>
  <c r="Y334" i="41"/>
  <c r="Y335" i="41"/>
  <c r="Y336" i="41"/>
  <c r="Y337" i="41"/>
  <c r="Y338" i="41"/>
  <c r="Y339" i="41"/>
  <c r="Y340" i="41"/>
  <c r="Y341" i="41"/>
  <c r="Y342" i="41"/>
  <c r="Y343" i="41"/>
  <c r="Y344" i="41"/>
  <c r="Y345" i="41"/>
  <c r="Y346" i="41"/>
  <c r="Y347" i="41"/>
  <c r="Y348" i="41"/>
  <c r="Y349" i="41"/>
  <c r="Y350" i="41"/>
  <c r="Y351" i="41"/>
  <c r="Y352" i="41"/>
  <c r="Y353" i="41"/>
  <c r="Y354" i="41"/>
  <c r="Y355" i="41"/>
  <c r="Y356" i="41"/>
  <c r="Y357" i="41"/>
  <c r="Y358" i="41"/>
  <c r="Y359" i="41"/>
  <c r="Y360" i="41"/>
  <c r="Y361" i="41"/>
  <c r="Y362" i="41"/>
  <c r="Y363" i="41"/>
  <c r="Y364" i="41"/>
  <c r="Y365" i="41"/>
  <c r="Y366" i="41"/>
  <c r="Y367" i="41"/>
  <c r="Y368" i="41"/>
  <c r="Y369" i="41"/>
  <c r="Y370" i="41"/>
  <c r="Y371" i="41"/>
  <c r="Y372" i="41"/>
  <c r="Y373" i="41"/>
  <c r="Y374" i="41"/>
  <c r="Y375" i="41"/>
  <c r="Y376" i="41"/>
  <c r="Y377" i="41"/>
  <c r="Y378" i="41"/>
  <c r="Y379" i="41"/>
  <c r="Y380" i="41"/>
  <c r="Y381" i="41"/>
  <c r="Y382" i="41"/>
  <c r="Y383" i="41"/>
  <c r="Y384" i="41"/>
  <c r="Y385" i="41"/>
  <c r="Y386" i="41"/>
  <c r="Y387" i="41"/>
  <c r="Y388" i="41"/>
  <c r="Y389" i="41"/>
  <c r="Y390" i="41"/>
  <c r="Y391" i="41"/>
  <c r="Y392" i="41"/>
  <c r="Y393" i="41"/>
  <c r="Y394" i="41"/>
  <c r="Y395" i="41"/>
  <c r="Y396" i="41"/>
  <c r="Y397" i="41"/>
  <c r="Y398" i="41"/>
  <c r="Y399" i="41"/>
  <c r="Y400" i="41"/>
  <c r="Y401" i="41"/>
  <c r="Y402" i="41"/>
  <c r="Y403" i="41"/>
  <c r="Y404" i="41"/>
  <c r="Y405" i="41"/>
  <c r="Y406" i="41"/>
  <c r="Y407" i="41"/>
  <c r="Y408" i="41"/>
  <c r="Y409" i="41"/>
  <c r="Y410" i="41"/>
  <c r="Y411" i="41"/>
  <c r="Y412" i="41"/>
  <c r="Y413" i="41"/>
  <c r="Y414" i="41"/>
  <c r="Y415" i="41"/>
  <c r="Y416" i="41"/>
  <c r="Y417" i="41"/>
  <c r="Y418" i="41"/>
  <c r="Y419" i="41"/>
  <c r="Y420" i="41"/>
  <c r="Y421" i="41"/>
  <c r="Y422" i="41"/>
  <c r="Y423" i="41"/>
  <c r="Y424" i="41"/>
  <c r="Y425" i="41"/>
  <c r="Y426" i="41"/>
  <c r="Y427" i="41"/>
  <c r="Y428" i="41"/>
  <c r="Y429" i="41"/>
  <c r="Y430" i="41"/>
  <c r="Y431" i="41"/>
  <c r="Y432" i="41"/>
  <c r="Y433" i="41"/>
  <c r="Y434" i="41"/>
  <c r="Y435" i="41"/>
  <c r="Y436" i="41"/>
  <c r="Y437" i="41"/>
  <c r="Y438" i="41"/>
  <c r="Y439" i="41"/>
  <c r="Y440" i="41"/>
  <c r="Y441" i="41"/>
  <c r="Y442" i="41"/>
  <c r="Y443" i="41"/>
  <c r="Y444" i="41"/>
  <c r="Y445" i="41"/>
  <c r="Y446" i="41"/>
  <c r="Y447" i="41"/>
  <c r="Y448" i="41"/>
  <c r="Y449" i="41"/>
  <c r="Y450" i="41"/>
  <c r="Y451" i="41"/>
  <c r="Y452" i="41"/>
  <c r="Y453" i="41"/>
  <c r="Y454" i="41"/>
  <c r="Y455" i="41"/>
  <c r="Y456" i="41"/>
  <c r="Y457" i="41"/>
  <c r="Y458" i="41"/>
  <c r="Y459" i="41"/>
  <c r="Y460" i="41"/>
  <c r="Y461" i="41"/>
  <c r="Y462" i="41"/>
  <c r="Y463" i="41"/>
  <c r="Y464" i="41"/>
  <c r="Y465" i="41"/>
  <c r="Y466" i="41"/>
  <c r="Y467" i="41"/>
  <c r="Y468" i="41"/>
  <c r="Y469" i="41"/>
  <c r="Y470" i="41"/>
  <c r="Y471" i="41"/>
  <c r="Y472" i="41"/>
  <c r="Y473" i="41"/>
  <c r="Y474" i="41"/>
  <c r="Y475" i="41"/>
  <c r="Y476" i="41"/>
  <c r="Y477" i="41"/>
  <c r="Y478" i="41"/>
  <c r="Y479" i="41"/>
  <c r="Y480" i="41"/>
  <c r="Y481" i="41"/>
  <c r="Y482" i="41"/>
  <c r="Y483" i="41"/>
  <c r="Y484" i="41"/>
  <c r="Y485" i="41"/>
  <c r="Y486" i="41"/>
  <c r="Y487" i="41"/>
  <c r="Y488" i="41"/>
  <c r="Y489" i="41"/>
  <c r="Y490" i="41"/>
  <c r="Y491" i="41"/>
  <c r="Y492" i="41"/>
  <c r="Y493" i="41"/>
  <c r="Y494" i="41"/>
  <c r="Y495" i="41"/>
  <c r="Y496" i="41"/>
  <c r="Y497" i="41"/>
  <c r="Y498" i="41"/>
  <c r="Y499" i="41"/>
  <c r="Y500" i="41"/>
  <c r="Y501" i="41"/>
  <c r="Y502" i="41"/>
  <c r="Y503" i="41"/>
  <c r="Y504" i="41"/>
  <c r="Y505" i="41"/>
  <c r="Y506" i="41"/>
  <c r="Y507" i="41"/>
  <c r="Y508" i="41"/>
  <c r="Y509" i="41"/>
  <c r="Y510" i="41"/>
  <c r="Y511" i="41"/>
  <c r="Y512" i="41"/>
  <c r="Y513" i="41"/>
  <c r="Y514" i="41"/>
  <c r="Y515" i="41"/>
  <c r="Y516" i="41"/>
  <c r="Y517" i="41"/>
  <c r="Y518" i="41"/>
  <c r="Y519" i="41"/>
  <c r="Y520" i="41"/>
  <c r="Y521" i="41"/>
  <c r="Y522" i="41"/>
  <c r="Y523" i="41"/>
  <c r="Y524" i="41"/>
  <c r="Y525" i="41"/>
  <c r="Y526" i="41"/>
  <c r="Y527" i="41"/>
  <c r="Y528" i="41"/>
  <c r="Y529" i="41"/>
  <c r="Y530" i="41"/>
  <c r="Y531" i="41"/>
  <c r="Y532" i="41"/>
  <c r="Y533" i="41"/>
  <c r="Y534" i="41"/>
  <c r="Y535" i="41"/>
  <c r="Y536" i="41"/>
  <c r="Y537" i="41"/>
  <c r="Y538" i="41"/>
  <c r="Y539" i="41"/>
  <c r="Y540" i="41"/>
  <c r="Y541" i="41"/>
  <c r="Y542" i="41"/>
  <c r="Y543" i="41"/>
  <c r="Y544" i="41"/>
  <c r="Y545" i="41"/>
  <c r="Y546" i="41"/>
  <c r="Y547" i="41"/>
  <c r="Y548" i="41"/>
  <c r="Y549" i="41"/>
  <c r="Y550" i="41"/>
  <c r="Y551" i="41"/>
  <c r="Y552" i="41"/>
  <c r="Y553" i="41"/>
  <c r="Y554" i="41"/>
  <c r="Y555" i="41"/>
  <c r="Y556" i="41"/>
  <c r="Y557" i="41"/>
  <c r="Y558" i="41"/>
  <c r="Y559" i="41"/>
  <c r="Y560" i="41"/>
  <c r="Y561" i="41"/>
  <c r="Y562" i="41"/>
  <c r="Y563" i="41"/>
  <c r="Y564" i="41"/>
  <c r="Y565" i="41"/>
  <c r="Y566" i="41"/>
  <c r="Y567" i="41"/>
  <c r="Y568" i="41"/>
  <c r="Y569" i="41"/>
  <c r="Y570" i="41"/>
  <c r="Y571" i="41"/>
  <c r="Y572" i="41"/>
  <c r="Y573" i="41"/>
  <c r="Y574" i="41"/>
  <c r="Y575" i="41"/>
  <c r="Y576" i="41"/>
  <c r="Y577" i="41"/>
  <c r="Y578" i="41"/>
  <c r="Y579" i="41"/>
  <c r="Y580" i="41"/>
  <c r="Y581" i="41"/>
  <c r="Y582" i="41"/>
  <c r="Y583" i="41"/>
  <c r="Y584" i="41"/>
  <c r="Y585" i="41"/>
  <c r="Y586" i="41"/>
  <c r="Y587" i="41"/>
  <c r="Y588" i="41"/>
  <c r="Y589" i="41"/>
  <c r="Y590" i="41"/>
  <c r="Y591" i="41"/>
  <c r="Y592" i="41"/>
  <c r="Y593" i="41"/>
  <c r="Y594" i="41"/>
  <c r="Y595" i="41"/>
  <c r="Y596" i="41"/>
  <c r="Y597" i="41"/>
  <c r="Y598" i="41"/>
  <c r="Y599" i="41"/>
  <c r="Y600" i="41"/>
  <c r="Y601" i="41"/>
  <c r="Y602" i="41"/>
  <c r="Y603" i="41"/>
  <c r="Y604" i="41"/>
  <c r="Y605" i="41"/>
  <c r="Y606" i="41"/>
  <c r="Y607" i="41"/>
  <c r="Y608" i="41"/>
  <c r="Y609" i="41"/>
  <c r="Y610" i="41"/>
  <c r="Y611" i="41"/>
  <c r="Y612" i="41"/>
  <c r="Y613" i="41"/>
  <c r="Y614" i="41"/>
  <c r="Y615" i="41"/>
  <c r="Y616" i="41"/>
  <c r="Y617" i="41"/>
  <c r="Y618" i="41"/>
  <c r="Y619" i="41"/>
  <c r="Y620" i="41"/>
  <c r="Y621" i="41"/>
  <c r="Y622" i="41"/>
  <c r="Y623" i="41"/>
  <c r="Y624" i="41"/>
  <c r="Y625" i="41"/>
  <c r="Y626" i="41"/>
  <c r="Y627" i="41"/>
  <c r="Y628" i="41"/>
  <c r="Y629" i="41"/>
  <c r="Y630" i="41"/>
  <c r="Y631" i="41"/>
  <c r="Y632" i="41"/>
  <c r="Y633" i="41"/>
  <c r="Y634" i="41"/>
  <c r="Y635" i="41"/>
  <c r="Y636" i="41"/>
  <c r="Y637" i="41"/>
  <c r="Y638" i="41"/>
  <c r="Y639" i="41"/>
  <c r="Y640" i="41"/>
  <c r="Y641" i="41"/>
  <c r="Y642" i="41"/>
  <c r="Y643" i="41"/>
  <c r="Y644" i="41"/>
  <c r="Y645" i="41"/>
  <c r="Y646" i="41"/>
  <c r="Y647" i="41"/>
  <c r="Y648" i="41"/>
  <c r="Y649" i="41"/>
  <c r="Y650" i="41"/>
  <c r="Y651" i="41"/>
  <c r="Y652" i="41"/>
  <c r="Y653" i="41"/>
  <c r="Y654" i="41"/>
  <c r="Y655" i="41"/>
  <c r="Y656" i="41"/>
  <c r="Y657" i="41"/>
  <c r="Y658" i="41"/>
  <c r="Y659" i="41"/>
  <c r="Y660" i="41"/>
  <c r="Y661" i="41"/>
  <c r="Y662" i="41"/>
  <c r="Y663" i="41"/>
  <c r="Y664" i="41"/>
  <c r="Y665" i="41"/>
  <c r="Y666" i="41"/>
  <c r="Y667" i="41"/>
  <c r="Y668" i="41"/>
  <c r="Y669" i="41"/>
  <c r="Y670" i="41"/>
  <c r="Y671" i="41"/>
  <c r="Y672" i="41"/>
  <c r="Y673" i="41"/>
  <c r="Y674" i="41"/>
  <c r="Y675" i="41"/>
  <c r="Y676" i="41"/>
  <c r="Y677" i="41"/>
  <c r="Y678" i="41"/>
  <c r="Y679" i="41"/>
  <c r="Y680" i="41"/>
  <c r="Y681" i="41"/>
  <c r="Y682" i="41"/>
  <c r="Y683" i="41"/>
  <c r="Y684" i="41"/>
  <c r="Y685" i="41"/>
  <c r="Y686" i="41"/>
  <c r="Y687" i="41"/>
  <c r="Y688" i="41"/>
  <c r="Y689" i="41"/>
  <c r="Y690" i="41"/>
  <c r="Y691" i="41"/>
  <c r="Y692" i="41"/>
  <c r="Y693" i="41"/>
  <c r="Y694" i="41"/>
  <c r="Y695" i="41"/>
  <c r="Y696" i="41"/>
  <c r="Y697" i="41"/>
  <c r="Y698" i="41"/>
  <c r="Y699" i="41"/>
  <c r="Y700" i="41"/>
  <c r="Y701" i="41"/>
  <c r="Y702" i="41"/>
  <c r="Y703" i="41"/>
  <c r="Y704" i="41"/>
  <c r="Y705" i="41"/>
  <c r="Y706" i="41"/>
  <c r="Y707" i="41"/>
  <c r="Y708" i="41"/>
  <c r="Y709" i="41"/>
  <c r="Y710" i="41"/>
  <c r="Y711" i="41"/>
  <c r="Y712" i="41"/>
  <c r="Y713" i="41"/>
  <c r="Y714" i="41"/>
  <c r="Y715" i="41"/>
  <c r="Y716" i="41"/>
  <c r="Y717" i="41"/>
  <c r="Y718" i="41"/>
  <c r="Y719" i="41"/>
  <c r="Y720" i="41"/>
  <c r="Y721" i="41"/>
  <c r="Y722" i="41"/>
  <c r="Y723" i="41"/>
  <c r="Y724" i="41"/>
  <c r="Y725" i="41"/>
  <c r="Y726" i="41"/>
  <c r="Y727" i="41"/>
  <c r="Y728" i="41"/>
  <c r="Y729" i="41"/>
  <c r="Y730" i="41"/>
  <c r="Y731" i="41"/>
  <c r="Y732" i="41"/>
  <c r="Y733" i="41"/>
  <c r="Y734" i="41"/>
  <c r="Y735" i="41"/>
  <c r="Y736" i="41"/>
  <c r="Y737" i="41"/>
  <c r="Y738" i="41"/>
  <c r="Y739" i="41"/>
  <c r="Y740" i="41"/>
  <c r="Y741" i="41"/>
  <c r="Y742" i="41"/>
  <c r="Y743" i="41"/>
  <c r="Y744" i="41"/>
  <c r="Y745" i="41"/>
  <c r="Y746" i="41"/>
  <c r="Y747" i="41"/>
  <c r="Y748" i="41"/>
  <c r="Y749" i="41"/>
  <c r="Y750" i="41"/>
  <c r="Y751" i="41"/>
  <c r="Y752" i="41"/>
  <c r="Y753" i="41"/>
  <c r="Y754" i="41"/>
  <c r="Y755" i="41"/>
  <c r="Y756" i="41"/>
  <c r="Y757" i="41"/>
  <c r="Y758" i="41"/>
  <c r="Y759" i="41"/>
  <c r="Y760" i="41"/>
  <c r="Y761" i="41"/>
  <c r="Y762" i="41"/>
  <c r="Y763" i="41"/>
  <c r="Y764" i="41"/>
  <c r="Y765" i="41"/>
  <c r="Y766" i="41"/>
  <c r="Z30" i="42" l="1"/>
  <c r="X17" i="42"/>
  <c r="X18" i="42"/>
  <c r="X19" i="42"/>
  <c r="X20" i="42"/>
  <c r="X21" i="42"/>
  <c r="X22" i="42"/>
  <c r="X23" i="42"/>
  <c r="X24" i="42"/>
  <c r="AB7" i="42"/>
  <c r="AB5" i="42"/>
  <c r="AB4" i="42"/>
  <c r="AD3" i="42"/>
  <c r="AB3" i="42"/>
  <c r="Y3" i="42"/>
  <c r="X3" i="42"/>
  <c r="W4" i="42"/>
  <c r="W5" i="42"/>
  <c r="W6" i="42"/>
  <c r="W7" i="42"/>
  <c r="W8" i="42"/>
  <c r="W9" i="42"/>
  <c r="W10" i="42"/>
  <c r="W3" i="42"/>
  <c r="Y4" i="42"/>
  <c r="Y5" i="42"/>
  <c r="Y6" i="42"/>
  <c r="Y7" i="42"/>
  <c r="Y8" i="42"/>
  <c r="Y9" i="42"/>
  <c r="Y10" i="42"/>
  <c r="X4" i="42"/>
  <c r="X5" i="42"/>
  <c r="X6" i="42"/>
  <c r="X7" i="42"/>
  <c r="X8" i="42"/>
  <c r="X9" i="42"/>
  <c r="X10" i="42"/>
  <c r="AC7" i="40"/>
  <c r="AB7" i="40"/>
  <c r="AB5" i="40"/>
  <c r="AB4" i="40"/>
  <c r="AB3" i="40"/>
  <c r="G14" i="19"/>
  <c r="C14" i="19"/>
  <c r="D224" i="41"/>
  <c r="D225" i="41"/>
  <c r="D226" i="41"/>
  <c r="D227" i="41"/>
  <c r="D228" i="41"/>
  <c r="D229" i="41"/>
  <c r="D230" i="41"/>
  <c r="D231" i="41"/>
  <c r="D232" i="41"/>
  <c r="D233" i="41"/>
  <c r="D234" i="41"/>
  <c r="D235" i="41"/>
  <c r="D236" i="41"/>
  <c r="D237" i="41"/>
  <c r="D238" i="41"/>
  <c r="D239" i="41"/>
  <c r="D240" i="41"/>
  <c r="D241" i="41"/>
  <c r="D242" i="41"/>
  <c r="D243" i="41"/>
  <c r="D244" i="41"/>
  <c r="D245" i="41"/>
  <c r="D246" i="41"/>
  <c r="D247" i="41"/>
  <c r="D248" i="41"/>
  <c r="D249" i="41"/>
  <c r="D250" i="41"/>
  <c r="D251" i="41"/>
  <c r="D252" i="41"/>
  <c r="D253" i="41"/>
  <c r="D254" i="41"/>
  <c r="D255" i="41"/>
  <c r="D256" i="41"/>
  <c r="D257" i="41"/>
  <c r="D258" i="41"/>
  <c r="D259" i="41"/>
  <c r="D260" i="41"/>
  <c r="D261" i="41"/>
  <c r="D262" i="41"/>
  <c r="D263" i="41"/>
  <c r="D264" i="41"/>
  <c r="D265" i="41"/>
  <c r="D266" i="41"/>
  <c r="D267" i="41"/>
  <c r="D268" i="41"/>
  <c r="D269" i="41"/>
  <c r="D270" i="41"/>
  <c r="D271" i="41"/>
  <c r="D272" i="41"/>
  <c r="D273" i="41"/>
  <c r="D274" i="41"/>
  <c r="D275" i="41"/>
  <c r="D276" i="41"/>
  <c r="D277" i="41"/>
  <c r="D278" i="41"/>
  <c r="D279" i="41"/>
  <c r="D280" i="41"/>
  <c r="D281" i="41"/>
  <c r="D282" i="41"/>
  <c r="D283" i="41"/>
  <c r="D284" i="41"/>
  <c r="D285" i="41"/>
  <c r="D286" i="41"/>
  <c r="D287" i="41"/>
  <c r="D288" i="41"/>
  <c r="D289" i="41"/>
  <c r="D290" i="41"/>
  <c r="D291" i="41"/>
  <c r="D292" i="41"/>
  <c r="D293" i="41"/>
  <c r="D294" i="41"/>
  <c r="D295" i="41"/>
  <c r="D296" i="41"/>
  <c r="D297" i="41"/>
  <c r="D298" i="41"/>
  <c r="D299" i="41"/>
  <c r="D300" i="41"/>
  <c r="D301" i="41"/>
  <c r="D302" i="41"/>
  <c r="D303" i="41"/>
  <c r="D304" i="41"/>
  <c r="D305" i="41"/>
  <c r="D306" i="41"/>
  <c r="D307" i="41"/>
  <c r="D308" i="41"/>
  <c r="D309" i="41"/>
  <c r="D310" i="41"/>
  <c r="D311" i="41"/>
  <c r="D312" i="41"/>
  <c r="D313" i="41"/>
  <c r="D314" i="41"/>
  <c r="D315" i="41"/>
  <c r="D316" i="41"/>
  <c r="D317" i="41"/>
  <c r="D318" i="41"/>
  <c r="D319" i="41"/>
  <c r="D320" i="41"/>
  <c r="D321" i="41"/>
  <c r="D322" i="41"/>
  <c r="D323" i="41"/>
  <c r="D324" i="41"/>
  <c r="D325" i="41"/>
  <c r="D326" i="41"/>
  <c r="D327" i="41"/>
  <c r="D328" i="41"/>
  <c r="D329" i="41"/>
  <c r="D330" i="41"/>
  <c r="D331" i="41"/>
  <c r="D332" i="41"/>
  <c r="D333" i="41"/>
  <c r="D334" i="41"/>
  <c r="D335" i="41"/>
  <c r="D336" i="41"/>
  <c r="D337" i="41"/>
  <c r="D338" i="41"/>
  <c r="D339" i="41"/>
  <c r="D340" i="41"/>
  <c r="D341" i="41"/>
  <c r="D342" i="41"/>
  <c r="D343" i="41"/>
  <c r="D344" i="41"/>
  <c r="D345" i="41"/>
  <c r="D346" i="41"/>
  <c r="D347" i="41"/>
  <c r="D348" i="41"/>
  <c r="D349" i="41"/>
  <c r="D350" i="41"/>
  <c r="D351" i="41"/>
  <c r="D352" i="41"/>
  <c r="D353" i="41"/>
  <c r="D354" i="41"/>
  <c r="D355" i="41"/>
  <c r="D356" i="41"/>
  <c r="D357" i="41"/>
  <c r="D358" i="41"/>
  <c r="D359" i="41"/>
  <c r="D360" i="41"/>
  <c r="D361" i="41"/>
  <c r="D362" i="41"/>
  <c r="D363" i="41"/>
  <c r="D364" i="41"/>
  <c r="D365" i="41"/>
  <c r="D366" i="41"/>
  <c r="D367" i="41"/>
  <c r="D368" i="41"/>
  <c r="D369" i="41"/>
  <c r="D370" i="41"/>
  <c r="D371" i="41"/>
  <c r="D372" i="41"/>
  <c r="D373" i="41"/>
  <c r="D374" i="41"/>
  <c r="D375" i="41"/>
  <c r="D376" i="41"/>
  <c r="D377" i="41"/>
  <c r="D378" i="41"/>
  <c r="D379" i="41"/>
  <c r="D380" i="41"/>
  <c r="D381" i="41"/>
  <c r="D382" i="41"/>
  <c r="D383" i="41"/>
  <c r="D384" i="41"/>
  <c r="D385" i="41"/>
  <c r="D386" i="41"/>
  <c r="D387" i="41"/>
  <c r="D388" i="41"/>
  <c r="D389" i="41"/>
  <c r="D390" i="41"/>
  <c r="D391" i="41"/>
  <c r="D392" i="41"/>
  <c r="D393" i="41"/>
  <c r="D394" i="41"/>
  <c r="D395" i="41"/>
  <c r="D396" i="41"/>
  <c r="D397" i="41"/>
  <c r="D398" i="41"/>
  <c r="D399" i="41"/>
  <c r="D400" i="41"/>
  <c r="D401" i="41"/>
  <c r="D402" i="41"/>
  <c r="D403" i="41"/>
  <c r="D404" i="41"/>
  <c r="D405" i="41"/>
  <c r="D406" i="41"/>
  <c r="D407" i="41"/>
  <c r="D408" i="41"/>
  <c r="D409" i="41"/>
  <c r="D410" i="41"/>
  <c r="D411" i="41"/>
  <c r="D412" i="41"/>
  <c r="D413" i="41"/>
  <c r="D414" i="41"/>
  <c r="D415" i="41"/>
  <c r="D416" i="41"/>
  <c r="D417" i="41"/>
  <c r="D418" i="41"/>
  <c r="D419" i="41"/>
  <c r="D420" i="41"/>
  <c r="D421" i="41"/>
  <c r="D422" i="41"/>
  <c r="D423" i="41"/>
  <c r="D424" i="41"/>
  <c r="D425" i="41"/>
  <c r="D426" i="41"/>
  <c r="D427" i="41"/>
  <c r="D428" i="41"/>
  <c r="D429" i="41"/>
  <c r="D430" i="41"/>
  <c r="D431" i="41"/>
  <c r="D432" i="41"/>
  <c r="D433" i="41"/>
  <c r="D434" i="41"/>
  <c r="D435" i="41"/>
  <c r="D436" i="41"/>
  <c r="D437" i="41"/>
  <c r="D438" i="41"/>
  <c r="D439" i="41"/>
  <c r="D440" i="41"/>
  <c r="D441" i="41"/>
  <c r="D442" i="41"/>
  <c r="D443" i="41"/>
  <c r="D444" i="41"/>
  <c r="D445" i="41"/>
  <c r="D446" i="41"/>
  <c r="D447" i="41"/>
  <c r="D448" i="41"/>
  <c r="D449" i="41"/>
  <c r="D450" i="41"/>
  <c r="D451" i="41"/>
  <c r="D452" i="41"/>
  <c r="D453" i="41"/>
  <c r="D454" i="41"/>
  <c r="D455" i="41"/>
  <c r="D456" i="41"/>
  <c r="D457" i="41"/>
  <c r="D458" i="41"/>
  <c r="D459" i="41"/>
  <c r="D460" i="41"/>
  <c r="D461" i="41"/>
  <c r="D462" i="41"/>
  <c r="D463" i="41"/>
  <c r="D464" i="41"/>
  <c r="D465" i="41"/>
  <c r="D466" i="41"/>
  <c r="D467" i="41"/>
  <c r="D468" i="41"/>
  <c r="D469" i="41"/>
  <c r="D470" i="41"/>
  <c r="D471" i="41"/>
  <c r="D472" i="41"/>
  <c r="D473" i="41"/>
  <c r="D474" i="41"/>
  <c r="D475" i="41"/>
  <c r="D476" i="41"/>
  <c r="D477" i="41"/>
  <c r="D478" i="41"/>
  <c r="D479" i="41"/>
  <c r="D480" i="41"/>
  <c r="D481" i="41"/>
  <c r="D482" i="41"/>
  <c r="D483" i="41"/>
  <c r="D484" i="41"/>
  <c r="D485" i="41"/>
  <c r="D486" i="41"/>
  <c r="D487" i="41"/>
  <c r="D488" i="41"/>
  <c r="D489" i="41"/>
  <c r="D490" i="41"/>
  <c r="D491" i="41"/>
  <c r="D492" i="41"/>
  <c r="D493" i="41"/>
  <c r="D494" i="41"/>
  <c r="D495" i="41"/>
  <c r="D496" i="41"/>
  <c r="D497" i="41"/>
  <c r="D498" i="41"/>
  <c r="D499" i="41"/>
  <c r="D500" i="41"/>
  <c r="D501" i="41"/>
  <c r="D502" i="41"/>
  <c r="D503" i="41"/>
  <c r="D504" i="41"/>
  <c r="D505" i="41"/>
  <c r="D506" i="41"/>
  <c r="D507" i="41"/>
  <c r="D508" i="41"/>
  <c r="D509" i="41"/>
  <c r="D510" i="41"/>
  <c r="D511" i="41"/>
  <c r="D512" i="41"/>
  <c r="D513" i="41"/>
  <c r="D514" i="41"/>
  <c r="D515" i="41"/>
  <c r="D516" i="41"/>
  <c r="D517" i="41"/>
  <c r="D518" i="41"/>
  <c r="D519" i="41"/>
  <c r="D520" i="41"/>
  <c r="D521" i="41"/>
  <c r="D522" i="41"/>
  <c r="D523" i="41"/>
  <c r="D524" i="41"/>
  <c r="D525" i="41"/>
  <c r="D526" i="41"/>
  <c r="D527" i="41"/>
  <c r="D528" i="41"/>
  <c r="D529" i="41"/>
  <c r="D530" i="41"/>
  <c r="D531" i="41"/>
  <c r="D532" i="41"/>
  <c r="D533" i="41"/>
  <c r="D534" i="41"/>
  <c r="D535" i="41"/>
  <c r="D536" i="41"/>
  <c r="D537" i="41"/>
  <c r="D538" i="41"/>
  <c r="D539" i="41"/>
  <c r="D540" i="41"/>
  <c r="D541" i="41"/>
  <c r="D542" i="41"/>
  <c r="D543" i="41"/>
  <c r="D544" i="41"/>
  <c r="D545" i="41"/>
  <c r="D546" i="41"/>
  <c r="D547" i="41"/>
  <c r="D548" i="41"/>
  <c r="D549" i="41"/>
  <c r="D550" i="41"/>
  <c r="D551" i="41"/>
  <c r="D552" i="41"/>
  <c r="D553" i="41"/>
  <c r="D554" i="41"/>
  <c r="D555" i="41"/>
  <c r="D556" i="41"/>
  <c r="D557" i="41"/>
  <c r="D558" i="41"/>
  <c r="D559" i="41"/>
  <c r="D560" i="41"/>
  <c r="D561" i="41"/>
  <c r="D562" i="41"/>
  <c r="D563" i="41"/>
  <c r="D564" i="41"/>
  <c r="D565" i="41"/>
  <c r="D566" i="41"/>
  <c r="D567" i="41"/>
  <c r="D568" i="41"/>
  <c r="D569" i="41"/>
  <c r="D570" i="41"/>
  <c r="D571" i="41"/>
  <c r="D572" i="41"/>
  <c r="D573" i="41"/>
  <c r="D574" i="41"/>
  <c r="D575" i="41"/>
  <c r="D576" i="41"/>
  <c r="D577" i="41"/>
  <c r="D578" i="41"/>
  <c r="D579" i="41"/>
  <c r="D580" i="41"/>
  <c r="D581" i="41"/>
  <c r="D582" i="41"/>
  <c r="D583" i="41"/>
  <c r="D584" i="41"/>
  <c r="D585" i="41"/>
  <c r="D586" i="41"/>
  <c r="D587" i="41"/>
  <c r="D588" i="41"/>
  <c r="D589" i="41"/>
  <c r="D590" i="41"/>
  <c r="D591" i="41"/>
  <c r="D592" i="41"/>
  <c r="D593" i="41"/>
  <c r="D594" i="41"/>
  <c r="D595" i="41"/>
  <c r="D596" i="41"/>
  <c r="D597" i="41"/>
  <c r="D598" i="41"/>
  <c r="D599" i="41"/>
  <c r="D600" i="41"/>
  <c r="D601" i="41"/>
  <c r="D602" i="41"/>
  <c r="D603" i="41"/>
  <c r="D604" i="41"/>
  <c r="D605" i="41"/>
  <c r="D606" i="41"/>
  <c r="D607" i="41"/>
  <c r="D608" i="41"/>
  <c r="D609" i="41"/>
  <c r="D610" i="41"/>
  <c r="D611" i="41"/>
  <c r="D612" i="41"/>
  <c r="D613" i="41"/>
  <c r="D614" i="41"/>
  <c r="D615" i="41"/>
  <c r="D616" i="41"/>
  <c r="D617" i="41"/>
  <c r="D618" i="41"/>
  <c r="D619" i="41"/>
  <c r="D620" i="41"/>
  <c r="D621" i="41"/>
  <c r="D622" i="41"/>
  <c r="D623" i="41"/>
  <c r="D624" i="41"/>
  <c r="D625" i="41"/>
  <c r="D626" i="41"/>
  <c r="D627" i="41"/>
  <c r="D628" i="41"/>
  <c r="D629" i="41"/>
  <c r="D630" i="41"/>
  <c r="D631" i="41"/>
  <c r="D632" i="41"/>
  <c r="D633" i="41"/>
  <c r="D634" i="41"/>
  <c r="D635" i="41"/>
  <c r="D636" i="41"/>
  <c r="D637" i="41"/>
  <c r="D638" i="41"/>
  <c r="D639" i="41"/>
  <c r="D640" i="41"/>
  <c r="D641" i="41"/>
  <c r="D642" i="41"/>
  <c r="D643" i="41"/>
  <c r="D644" i="41"/>
  <c r="D645" i="41"/>
  <c r="D646" i="41"/>
  <c r="D647" i="41"/>
  <c r="D648" i="41"/>
  <c r="D649" i="41"/>
  <c r="D650" i="41"/>
  <c r="D651" i="41"/>
  <c r="D652" i="41"/>
  <c r="D653" i="41"/>
  <c r="D654" i="41"/>
  <c r="D655" i="41"/>
  <c r="D656" i="41"/>
  <c r="D657" i="41"/>
  <c r="D658" i="41"/>
  <c r="D659" i="41"/>
  <c r="D660" i="41"/>
  <c r="D661" i="41"/>
  <c r="D662" i="41"/>
  <c r="D663" i="41"/>
  <c r="D664" i="41"/>
  <c r="D665" i="41"/>
  <c r="D666" i="41"/>
  <c r="D667" i="41"/>
  <c r="D668" i="41"/>
  <c r="D669" i="41"/>
  <c r="D670" i="41"/>
  <c r="D671" i="41"/>
  <c r="D672" i="41"/>
  <c r="D673" i="41"/>
  <c r="D674" i="41"/>
  <c r="D675" i="41"/>
  <c r="D676" i="41"/>
  <c r="D677" i="41"/>
  <c r="D678" i="41"/>
  <c r="D679" i="41"/>
  <c r="D680" i="41"/>
  <c r="D681" i="41"/>
  <c r="D682" i="41"/>
  <c r="D683" i="41"/>
  <c r="D684" i="41"/>
  <c r="D685" i="41"/>
  <c r="D686" i="41"/>
  <c r="D687" i="41"/>
  <c r="D688" i="41"/>
  <c r="D689" i="41"/>
  <c r="D690" i="41"/>
  <c r="D691" i="41"/>
  <c r="D692" i="41"/>
  <c r="D693" i="41"/>
  <c r="D694" i="41"/>
  <c r="D695" i="41"/>
  <c r="D696" i="41"/>
  <c r="D697" i="41"/>
  <c r="D698" i="41"/>
  <c r="D699" i="41"/>
  <c r="D700" i="41"/>
  <c r="D701" i="41"/>
  <c r="D702" i="41"/>
  <c r="D703" i="41"/>
  <c r="D704" i="41"/>
  <c r="D705" i="41"/>
  <c r="D706" i="41"/>
  <c r="D707" i="41"/>
  <c r="D708" i="41"/>
  <c r="D709" i="41"/>
  <c r="D710" i="41"/>
  <c r="D711" i="41"/>
  <c r="D712" i="41"/>
  <c r="D713" i="41"/>
  <c r="D714" i="41"/>
  <c r="D715" i="41"/>
  <c r="D716" i="41"/>
  <c r="D717" i="41"/>
  <c r="D718" i="41"/>
  <c r="D719" i="41"/>
  <c r="D720" i="41"/>
  <c r="D721" i="41"/>
  <c r="D722" i="41"/>
  <c r="D723" i="41"/>
  <c r="D724" i="41"/>
  <c r="D725" i="41"/>
  <c r="D726" i="41"/>
  <c r="D727" i="41"/>
  <c r="D728" i="41"/>
  <c r="D729" i="41"/>
  <c r="D730" i="41"/>
  <c r="D731" i="41"/>
  <c r="D732" i="41"/>
  <c r="D733" i="41"/>
  <c r="D734" i="41"/>
  <c r="D735" i="41"/>
  <c r="D736" i="41"/>
  <c r="D737" i="41"/>
  <c r="D738" i="41"/>
  <c r="D739" i="41"/>
  <c r="D740" i="41"/>
  <c r="D741" i="41"/>
  <c r="D742" i="41"/>
  <c r="D743" i="41"/>
  <c r="D744" i="41"/>
  <c r="D745" i="41"/>
  <c r="D746" i="41"/>
  <c r="D747" i="41"/>
  <c r="D748" i="41"/>
  <c r="D749" i="41"/>
  <c r="D750" i="41"/>
  <c r="D751" i="41"/>
  <c r="D752" i="41"/>
  <c r="C224" i="41"/>
  <c r="C225" i="41"/>
  <c r="C226" i="41"/>
  <c r="C227" i="41"/>
  <c r="C228" i="41"/>
  <c r="C229" i="41"/>
  <c r="C230" i="41"/>
  <c r="C231" i="41"/>
  <c r="C232" i="41"/>
  <c r="C233" i="41"/>
  <c r="C234" i="41"/>
  <c r="C235" i="41"/>
  <c r="C236" i="41"/>
  <c r="C237" i="41"/>
  <c r="C238" i="41"/>
  <c r="C239" i="41"/>
  <c r="C240" i="41"/>
  <c r="C241" i="41"/>
  <c r="C242" i="41"/>
  <c r="C243" i="41"/>
  <c r="C244" i="41"/>
  <c r="C245" i="41"/>
  <c r="C246" i="41"/>
  <c r="C247" i="41"/>
  <c r="C248" i="41"/>
  <c r="C249" i="41"/>
  <c r="C250" i="41"/>
  <c r="C251" i="41"/>
  <c r="C252" i="41"/>
  <c r="C253" i="41"/>
  <c r="C254" i="41"/>
  <c r="C255" i="41"/>
  <c r="C256" i="41"/>
  <c r="C257" i="41"/>
  <c r="C258" i="41"/>
  <c r="C259" i="41"/>
  <c r="C260" i="41"/>
  <c r="C261" i="41"/>
  <c r="C262" i="41"/>
  <c r="C263" i="41"/>
  <c r="C264" i="41"/>
  <c r="C265" i="41"/>
  <c r="C266" i="41"/>
  <c r="C267" i="41"/>
  <c r="C268" i="41"/>
  <c r="C269" i="41"/>
  <c r="C270" i="41"/>
  <c r="C271" i="41"/>
  <c r="C272" i="41"/>
  <c r="C273" i="41"/>
  <c r="C274" i="41"/>
  <c r="C275" i="41"/>
  <c r="C276" i="41"/>
  <c r="C277" i="41"/>
  <c r="C278" i="41"/>
  <c r="C279" i="41"/>
  <c r="C280" i="41"/>
  <c r="C281" i="41"/>
  <c r="C282" i="41"/>
  <c r="C283" i="41"/>
  <c r="C284" i="41"/>
  <c r="C285" i="41"/>
  <c r="C286" i="41"/>
  <c r="C287" i="41"/>
  <c r="C288" i="41"/>
  <c r="C289" i="41"/>
  <c r="C290" i="41"/>
  <c r="C291" i="41"/>
  <c r="C292" i="41"/>
  <c r="C293" i="41"/>
  <c r="C294" i="41"/>
  <c r="C295" i="41"/>
  <c r="C296" i="41"/>
  <c r="C297" i="41"/>
  <c r="C298" i="41"/>
  <c r="C299" i="41"/>
  <c r="C300" i="41"/>
  <c r="C301" i="41"/>
  <c r="C302" i="41"/>
  <c r="C303" i="41"/>
  <c r="C304" i="41"/>
  <c r="C305" i="41"/>
  <c r="C306" i="41"/>
  <c r="C307" i="41"/>
  <c r="C308" i="41"/>
  <c r="C309" i="41"/>
  <c r="C310" i="41"/>
  <c r="C311" i="41"/>
  <c r="C312" i="41"/>
  <c r="C313" i="41"/>
  <c r="C314" i="41"/>
  <c r="C315" i="41"/>
  <c r="C316" i="41"/>
  <c r="C317" i="41"/>
  <c r="C318" i="41"/>
  <c r="C319" i="41"/>
  <c r="C320" i="41"/>
  <c r="C321" i="41"/>
  <c r="C322" i="41"/>
  <c r="C323" i="41"/>
  <c r="C324" i="41"/>
  <c r="C325" i="41"/>
  <c r="C326" i="41"/>
  <c r="C327" i="41"/>
  <c r="C328" i="41"/>
  <c r="C329" i="41"/>
  <c r="C330" i="41"/>
  <c r="C331" i="41"/>
  <c r="C332" i="41"/>
  <c r="C333" i="41"/>
  <c r="C334" i="41"/>
  <c r="C335" i="41"/>
  <c r="C336" i="41"/>
  <c r="C337" i="41"/>
  <c r="C338" i="41"/>
  <c r="C339" i="41"/>
  <c r="C340" i="41"/>
  <c r="C341" i="41"/>
  <c r="C342" i="41"/>
  <c r="C343" i="41"/>
  <c r="C344" i="41"/>
  <c r="C345" i="41"/>
  <c r="C346" i="41"/>
  <c r="C347" i="41"/>
  <c r="C348" i="41"/>
  <c r="C349" i="41"/>
  <c r="C350" i="41"/>
  <c r="C351" i="41"/>
  <c r="C352" i="41"/>
  <c r="C353" i="41"/>
  <c r="C354" i="41"/>
  <c r="C355" i="41"/>
  <c r="C356" i="41"/>
  <c r="C357" i="41"/>
  <c r="C358" i="41"/>
  <c r="C359" i="41"/>
  <c r="C360" i="41"/>
  <c r="C361" i="41"/>
  <c r="C362" i="41"/>
  <c r="C363" i="41"/>
  <c r="C364" i="41"/>
  <c r="C365" i="41"/>
  <c r="C366" i="41"/>
  <c r="C367" i="41"/>
  <c r="C368" i="41"/>
  <c r="C369" i="41"/>
  <c r="C370" i="41"/>
  <c r="C371" i="41"/>
  <c r="C372" i="41"/>
  <c r="C373" i="41"/>
  <c r="C374" i="41"/>
  <c r="C375" i="41"/>
  <c r="C376" i="41"/>
  <c r="C377" i="41"/>
  <c r="C378" i="41"/>
  <c r="C379" i="41"/>
  <c r="C380" i="41"/>
  <c r="C381" i="41"/>
  <c r="C382" i="41"/>
  <c r="C383" i="41"/>
  <c r="C384" i="41"/>
  <c r="C385" i="41"/>
  <c r="C386" i="41"/>
  <c r="C387" i="41"/>
  <c r="C388" i="41"/>
  <c r="C389" i="41"/>
  <c r="C390" i="41"/>
  <c r="C391" i="41"/>
  <c r="C392" i="41"/>
  <c r="C393" i="41"/>
  <c r="C394" i="41"/>
  <c r="C395" i="41"/>
  <c r="C396" i="41"/>
  <c r="C397" i="41"/>
  <c r="C398" i="41"/>
  <c r="C399" i="41"/>
  <c r="C400" i="41"/>
  <c r="C401" i="41"/>
  <c r="C402" i="41"/>
  <c r="C403" i="41"/>
  <c r="C404" i="41"/>
  <c r="C405" i="41"/>
  <c r="C406" i="41"/>
  <c r="C407" i="41"/>
  <c r="C408" i="41"/>
  <c r="C409" i="41"/>
  <c r="C410" i="41"/>
  <c r="C411" i="41"/>
  <c r="C412" i="41"/>
  <c r="C413" i="41"/>
  <c r="C414" i="41"/>
  <c r="C415" i="41"/>
  <c r="C416" i="41"/>
  <c r="C417" i="41"/>
  <c r="C418" i="41"/>
  <c r="C419" i="41"/>
  <c r="C420" i="41"/>
  <c r="C421" i="41"/>
  <c r="C422" i="41"/>
  <c r="C423" i="41"/>
  <c r="C424" i="41"/>
  <c r="C425" i="41"/>
  <c r="C426" i="41"/>
  <c r="C427" i="41"/>
  <c r="C428" i="41"/>
  <c r="C429" i="41"/>
  <c r="C430" i="41"/>
  <c r="C431" i="41"/>
  <c r="C432" i="41"/>
  <c r="C433" i="41"/>
  <c r="C434" i="41"/>
  <c r="C435" i="41"/>
  <c r="C436" i="41"/>
  <c r="C437" i="41"/>
  <c r="C438" i="41"/>
  <c r="C439" i="41"/>
  <c r="C440" i="41"/>
  <c r="C441" i="41"/>
  <c r="C442" i="41"/>
  <c r="C443" i="41"/>
  <c r="C444" i="41"/>
  <c r="C445" i="41"/>
  <c r="C446" i="41"/>
  <c r="C447" i="41"/>
  <c r="C448" i="41"/>
  <c r="C449" i="41"/>
  <c r="C450" i="41"/>
  <c r="C451" i="41"/>
  <c r="C452" i="41"/>
  <c r="C453" i="41"/>
  <c r="C454" i="41"/>
  <c r="C455" i="41"/>
  <c r="C456" i="41"/>
  <c r="C457" i="41"/>
  <c r="C458" i="41"/>
  <c r="C459" i="41"/>
  <c r="C460" i="41"/>
  <c r="C461" i="41"/>
  <c r="C462" i="41"/>
  <c r="C463" i="41"/>
  <c r="C464" i="41"/>
  <c r="C465" i="41"/>
  <c r="C466" i="41"/>
  <c r="C467" i="41"/>
  <c r="C468" i="41"/>
  <c r="C469" i="41"/>
  <c r="C470" i="41"/>
  <c r="C471" i="41"/>
  <c r="C472" i="41"/>
  <c r="C473" i="41"/>
  <c r="C474" i="41"/>
  <c r="C475" i="41"/>
  <c r="C476" i="41"/>
  <c r="C477" i="41"/>
  <c r="C478" i="41"/>
  <c r="C479" i="41"/>
  <c r="C480" i="41"/>
  <c r="C481" i="41"/>
  <c r="C482" i="41"/>
  <c r="C483" i="41"/>
  <c r="C484" i="41"/>
  <c r="C485" i="41"/>
  <c r="C486" i="41"/>
  <c r="C487" i="41"/>
  <c r="C488" i="41"/>
  <c r="C489" i="41"/>
  <c r="C490" i="41"/>
  <c r="C491" i="41"/>
  <c r="C492" i="41"/>
  <c r="C493" i="41"/>
  <c r="C494" i="41"/>
  <c r="C495" i="41"/>
  <c r="C496" i="41"/>
  <c r="C497" i="41"/>
  <c r="C498" i="41"/>
  <c r="C499" i="41"/>
  <c r="C500" i="41"/>
  <c r="C501" i="41"/>
  <c r="C502" i="41"/>
  <c r="C503" i="41"/>
  <c r="C504" i="41"/>
  <c r="C505" i="41"/>
  <c r="C506" i="41"/>
  <c r="C507" i="41"/>
  <c r="C508" i="41"/>
  <c r="C509" i="41"/>
  <c r="C510" i="41"/>
  <c r="C511" i="41"/>
  <c r="C512" i="41"/>
  <c r="C513" i="41"/>
  <c r="C514" i="41"/>
  <c r="C515" i="41"/>
  <c r="C516" i="41"/>
  <c r="C517" i="41"/>
  <c r="C518" i="41"/>
  <c r="C519" i="41"/>
  <c r="C520" i="41"/>
  <c r="C521" i="41"/>
  <c r="C522" i="41"/>
  <c r="C523" i="41"/>
  <c r="C524" i="41"/>
  <c r="C525" i="41"/>
  <c r="C526" i="41"/>
  <c r="C527" i="41"/>
  <c r="C528" i="41"/>
  <c r="C529" i="41"/>
  <c r="C530" i="41"/>
  <c r="C531" i="41"/>
  <c r="C532" i="41"/>
  <c r="C533" i="41"/>
  <c r="C534" i="41"/>
  <c r="C535" i="41"/>
  <c r="C536" i="41"/>
  <c r="C537" i="41"/>
  <c r="C538" i="41"/>
  <c r="C539" i="41"/>
  <c r="C540" i="41"/>
  <c r="C541" i="41"/>
  <c r="C542" i="41"/>
  <c r="C543" i="41"/>
  <c r="C544" i="41"/>
  <c r="C545" i="41"/>
  <c r="C546" i="41"/>
  <c r="C547" i="41"/>
  <c r="C548" i="41"/>
  <c r="C549" i="41"/>
  <c r="C550" i="41"/>
  <c r="C551" i="41"/>
  <c r="C552" i="41"/>
  <c r="C553" i="41"/>
  <c r="C554" i="41"/>
  <c r="C555" i="41"/>
  <c r="C556" i="41"/>
  <c r="C557" i="41"/>
  <c r="C558" i="41"/>
  <c r="C559" i="41"/>
  <c r="C560" i="41"/>
  <c r="C561" i="41"/>
  <c r="C562" i="41"/>
  <c r="C563" i="41"/>
  <c r="C564" i="41"/>
  <c r="C565" i="41"/>
  <c r="C566" i="41"/>
  <c r="C567" i="41"/>
  <c r="C568" i="41"/>
  <c r="C569" i="41"/>
  <c r="C570" i="41"/>
  <c r="C571" i="41"/>
  <c r="C572" i="41"/>
  <c r="C573" i="41"/>
  <c r="C574" i="41"/>
  <c r="C575" i="41"/>
  <c r="C576" i="41"/>
  <c r="C577" i="41"/>
  <c r="C578" i="41"/>
  <c r="C579" i="41"/>
  <c r="C580" i="41"/>
  <c r="C581" i="41"/>
  <c r="C582" i="41"/>
  <c r="C583" i="41"/>
  <c r="C584" i="41"/>
  <c r="C585" i="41"/>
  <c r="C586" i="41"/>
  <c r="C587" i="41"/>
  <c r="C588" i="41"/>
  <c r="C589" i="41"/>
  <c r="C590" i="41"/>
  <c r="C591" i="41"/>
  <c r="C592" i="41"/>
  <c r="C593" i="41"/>
  <c r="C594" i="41"/>
  <c r="C595" i="41"/>
  <c r="C596" i="41"/>
  <c r="C597" i="41"/>
  <c r="C598" i="41"/>
  <c r="C599" i="41"/>
  <c r="C600" i="41"/>
  <c r="C601" i="41"/>
  <c r="C602" i="41"/>
  <c r="C603" i="41"/>
  <c r="C604" i="41"/>
  <c r="C605" i="41"/>
  <c r="C606" i="41"/>
  <c r="C607" i="41"/>
  <c r="C608" i="41"/>
  <c r="C609" i="41"/>
  <c r="C610" i="41"/>
  <c r="C611" i="41"/>
  <c r="C612" i="41"/>
  <c r="C613" i="41"/>
  <c r="C614" i="41"/>
  <c r="C615" i="41"/>
  <c r="C616" i="41"/>
  <c r="C617" i="41"/>
  <c r="C618" i="41"/>
  <c r="C619" i="41"/>
  <c r="C620" i="41"/>
  <c r="C621" i="41"/>
  <c r="C622" i="41"/>
  <c r="C623" i="41"/>
  <c r="C624" i="41"/>
  <c r="C625" i="41"/>
  <c r="C626" i="41"/>
  <c r="C627" i="41"/>
  <c r="C628" i="41"/>
  <c r="C629" i="41"/>
  <c r="C630" i="41"/>
  <c r="C631" i="41"/>
  <c r="C632" i="41"/>
  <c r="C633" i="41"/>
  <c r="C634" i="41"/>
  <c r="C635" i="41"/>
  <c r="C636" i="41"/>
  <c r="C637" i="41"/>
  <c r="C638" i="41"/>
  <c r="C639" i="41"/>
  <c r="C640" i="41"/>
  <c r="C641" i="41"/>
  <c r="C642" i="41"/>
  <c r="C643" i="41"/>
  <c r="C644" i="41"/>
  <c r="C645" i="41"/>
  <c r="C646" i="41"/>
  <c r="C647" i="41"/>
  <c r="C648" i="41"/>
  <c r="C649" i="41"/>
  <c r="C650" i="41"/>
  <c r="C651" i="41"/>
  <c r="C652" i="41"/>
  <c r="C653" i="41"/>
  <c r="C654" i="41"/>
  <c r="C655" i="41"/>
  <c r="C656" i="41"/>
  <c r="C657" i="41"/>
  <c r="C658" i="41"/>
  <c r="C659" i="41"/>
  <c r="C660" i="41"/>
  <c r="C661" i="41"/>
  <c r="C662" i="41"/>
  <c r="C663" i="41"/>
  <c r="C664" i="41"/>
  <c r="C665" i="41"/>
  <c r="C666" i="41"/>
  <c r="C667" i="41"/>
  <c r="C668" i="41"/>
  <c r="C669" i="41"/>
  <c r="C670" i="41"/>
  <c r="C671" i="41"/>
  <c r="C672" i="41"/>
  <c r="C673" i="41"/>
  <c r="C674" i="41"/>
  <c r="C675" i="41"/>
  <c r="C676" i="41"/>
  <c r="C677" i="41"/>
  <c r="C678" i="41"/>
  <c r="C679" i="41"/>
  <c r="C680" i="41"/>
  <c r="C681" i="41"/>
  <c r="C682" i="41"/>
  <c r="C683" i="41"/>
  <c r="C684" i="41"/>
  <c r="C685" i="41"/>
  <c r="C686" i="41"/>
  <c r="C687" i="41"/>
  <c r="C688" i="41"/>
  <c r="C689" i="41"/>
  <c r="C690" i="41"/>
  <c r="C691" i="41"/>
  <c r="C692" i="41"/>
  <c r="C693" i="41"/>
  <c r="C694" i="41"/>
  <c r="C695" i="41"/>
  <c r="C696" i="41"/>
  <c r="C697" i="41"/>
  <c r="C698" i="41"/>
  <c r="C699" i="41"/>
  <c r="C700" i="41"/>
  <c r="C701" i="41"/>
  <c r="C702" i="41"/>
  <c r="C703" i="41"/>
  <c r="C704" i="41"/>
  <c r="C705" i="41"/>
  <c r="C706" i="41"/>
  <c r="C707" i="41"/>
  <c r="C708" i="41"/>
  <c r="C709" i="41"/>
  <c r="C710" i="41"/>
  <c r="C711" i="41"/>
  <c r="C712" i="41"/>
  <c r="C713" i="41"/>
  <c r="C714" i="41"/>
  <c r="C715" i="41"/>
  <c r="C716" i="41"/>
  <c r="C717" i="41"/>
  <c r="C718" i="41"/>
  <c r="C719" i="41"/>
  <c r="C720" i="41"/>
  <c r="C721" i="41"/>
  <c r="C722" i="41"/>
  <c r="C723" i="41"/>
  <c r="C724" i="41"/>
  <c r="C725" i="41"/>
  <c r="C726" i="41"/>
  <c r="C727" i="41"/>
  <c r="C728" i="41"/>
  <c r="C729" i="41"/>
  <c r="C730" i="41"/>
  <c r="C731" i="41"/>
  <c r="C732" i="41"/>
  <c r="C733" i="41"/>
  <c r="C734" i="41"/>
  <c r="C735" i="41"/>
  <c r="C736" i="41"/>
  <c r="C737" i="41"/>
  <c r="C738" i="41"/>
  <c r="C739" i="41"/>
  <c r="C740" i="41"/>
  <c r="C741" i="41"/>
  <c r="C742" i="41"/>
  <c r="C743" i="41"/>
  <c r="C744" i="41"/>
  <c r="C745" i="41"/>
  <c r="C746" i="41"/>
  <c r="C747" i="41"/>
  <c r="C748" i="41"/>
  <c r="C749" i="41"/>
  <c r="C750" i="41"/>
  <c r="C751" i="41"/>
  <c r="C752" i="41"/>
  <c r="X34" i="40"/>
  <c r="AQ24" i="19"/>
  <c r="AQ24" i="3"/>
  <c r="AO4" i="3"/>
  <c r="AO5" i="3" l="1"/>
  <c r="X44" i="42"/>
  <c r="X45" i="42"/>
  <c r="X46" i="42"/>
  <c r="X47" i="42"/>
  <c r="X48" i="42"/>
  <c r="X49" i="42"/>
  <c r="X50" i="42"/>
  <c r="X43" i="42"/>
  <c r="X31" i="42"/>
  <c r="X32" i="42"/>
  <c r="X33" i="42"/>
  <c r="X34" i="42"/>
  <c r="X35" i="42"/>
  <c r="X36" i="42"/>
  <c r="X37" i="42"/>
  <c r="C9" i="19" s="1"/>
  <c r="X30" i="42"/>
  <c r="B2" i="42" a="1"/>
  <c r="B2" i="42" s="1"/>
  <c r="X46" i="40"/>
  <c r="X47" i="40"/>
  <c r="X48" i="40"/>
  <c r="X49" i="40"/>
  <c r="X50" i="40"/>
  <c r="X51" i="40"/>
  <c r="G14" i="3" s="1"/>
  <c r="X52" i="40"/>
  <c r="X45" i="40"/>
  <c r="X32" i="40"/>
  <c r="X33" i="40"/>
  <c r="X35" i="40"/>
  <c r="X36" i="40"/>
  <c r="X37" i="40"/>
  <c r="X38" i="40"/>
  <c r="B2" i="40" a="1"/>
  <c r="B2" i="40" s="1"/>
  <c r="X31" i="40"/>
  <c r="AP21" i="19"/>
  <c r="AA17" i="19"/>
  <c r="Z17" i="19"/>
  <c r="Y17" i="19"/>
  <c r="X17" i="19"/>
  <c r="AA16" i="19"/>
  <c r="Z16" i="19"/>
  <c r="Y16" i="19"/>
  <c r="X16" i="19"/>
  <c r="AB15" i="19"/>
  <c r="X15" i="19"/>
  <c r="AW14" i="19"/>
  <c r="AO21" i="3"/>
  <c r="Y18" i="3" s="1" a="1"/>
  <c r="Y18" i="3" s="1"/>
  <c r="Z17" i="3"/>
  <c r="Y17" i="3"/>
  <c r="X17" i="3"/>
  <c r="W17" i="3"/>
  <c r="Z16" i="3"/>
  <c r="Y16" i="3"/>
  <c r="X16" i="3"/>
  <c r="W16" i="3"/>
  <c r="AB15" i="3"/>
  <c r="W15" i="3"/>
  <c r="B2" i="44" a="1"/>
  <c r="B2" i="44" s="1"/>
  <c r="K1" i="19" s="1"/>
  <c r="C9" i="3" l="1"/>
  <c r="C14" i="3"/>
  <c r="W18" i="3"/>
  <c r="K1" i="3"/>
  <c r="AP7" i="19" l="1"/>
  <c r="E10" i="43"/>
  <c r="AP11" i="19" l="1"/>
  <c r="AP6" i="19"/>
  <c r="AP5" i="19"/>
  <c r="AP8" i="19"/>
  <c r="AO6" i="3"/>
  <c r="AO7" i="3"/>
  <c r="AO8" i="3"/>
  <c r="AO9" i="3"/>
  <c r="X24" i="40" l="1"/>
  <c r="X23" i="40"/>
  <c r="X22" i="40"/>
  <c r="AO11" i="3" l="1"/>
  <c r="AE3" i="42" l="1"/>
  <c r="AF3" i="42" s="1"/>
  <c r="AG3" i="42" l="1"/>
  <c r="AE4" i="42"/>
  <c r="AE5" i="42" s="1"/>
  <c r="AE6" i="42" s="1"/>
  <c r="AE7" i="42" s="1"/>
  <c r="AE8" i="42" s="1"/>
  <c r="AE9" i="42" s="1"/>
  <c r="AE10" i="42" s="1"/>
  <c r="AE11" i="42" s="1"/>
  <c r="AE12" i="42" s="1"/>
  <c r="AE13" i="42" s="1"/>
  <c r="AE14" i="42" s="1"/>
  <c r="AE15" i="42" s="1"/>
  <c r="AE16" i="42" s="1"/>
  <c r="AE17" i="42" s="1"/>
  <c r="AE18" i="42" s="1"/>
  <c r="AE19" i="42" s="1"/>
  <c r="AE20" i="42" s="1"/>
  <c r="AE21" i="42" s="1"/>
  <c r="AE22" i="42" s="1"/>
  <c r="AE23" i="42" s="1"/>
  <c r="AE24" i="42" s="1"/>
  <c r="AE25" i="42" s="1"/>
  <c r="AE26" i="42" s="1"/>
  <c r="AE27" i="42" s="1"/>
  <c r="AE28" i="42" s="1"/>
  <c r="AE29" i="42" s="1"/>
  <c r="AE30" i="42" s="1"/>
  <c r="AE31" i="42" s="1"/>
  <c r="AE32" i="42" s="1"/>
  <c r="AE33" i="42" s="1"/>
  <c r="AE34" i="42" s="1"/>
  <c r="AE35" i="42" s="1"/>
  <c r="AE36" i="42" s="1"/>
  <c r="AE37" i="42" s="1"/>
  <c r="AE38" i="42" s="1"/>
  <c r="AE39" i="42" s="1"/>
  <c r="AE40" i="42" s="1"/>
  <c r="AE41" i="42" s="1"/>
  <c r="AE42" i="42" s="1"/>
  <c r="AE43" i="42" s="1"/>
  <c r="AE44" i="42" s="1"/>
  <c r="AE45" i="42" s="1"/>
  <c r="AE46" i="42" s="1"/>
  <c r="AE47" i="42" s="1"/>
  <c r="AE48" i="42" s="1"/>
  <c r="AE49" i="42" s="1"/>
  <c r="AE50" i="42" s="1"/>
  <c r="AE51" i="42" s="1"/>
  <c r="AE52" i="42" s="1"/>
  <c r="AE53" i="42" s="1"/>
  <c r="AE54" i="42" s="1"/>
  <c r="AE55" i="42" s="1"/>
  <c r="AE56" i="42" s="1"/>
  <c r="AE57" i="42" s="1"/>
  <c r="AE58" i="42" s="1"/>
  <c r="AE59" i="42" s="1"/>
  <c r="AE60" i="42" s="1"/>
  <c r="AE61" i="42" s="1"/>
  <c r="AE62" i="42" s="1"/>
  <c r="AE63" i="42" s="1"/>
  <c r="AE64" i="42" s="1"/>
  <c r="AE65" i="42" s="1"/>
  <c r="AE66" i="42" s="1"/>
  <c r="AE67" i="42" s="1"/>
  <c r="AE68" i="42" s="1"/>
  <c r="AE69" i="42" s="1"/>
  <c r="AE70" i="42" s="1"/>
  <c r="AE71" i="42" s="1"/>
  <c r="AE72" i="42" s="1"/>
  <c r="AE73" i="42" s="1"/>
  <c r="AE74" i="42" s="1"/>
  <c r="AE75" i="42" s="1"/>
  <c r="AE76" i="42" s="1"/>
  <c r="AE77" i="42" s="1"/>
  <c r="AE78" i="42" s="1"/>
  <c r="AE79" i="42" s="1"/>
  <c r="AE80" i="42" s="1"/>
  <c r="AE81" i="42" s="1"/>
  <c r="AE82" i="42" s="1"/>
  <c r="AE83" i="42" s="1"/>
  <c r="AE84" i="42" s="1"/>
  <c r="AE85" i="42" s="1"/>
  <c r="AE86" i="42" s="1"/>
  <c r="AE87" i="42" s="1"/>
  <c r="AE88" i="42" s="1"/>
  <c r="AE89" i="42" s="1"/>
  <c r="AE90" i="42" s="1"/>
  <c r="AE91" i="42" s="1"/>
  <c r="AE92" i="42" s="1"/>
  <c r="AE93" i="42" s="1"/>
  <c r="AE94" i="42" s="1"/>
  <c r="AE95" i="42" s="1"/>
  <c r="AE96" i="42" s="1"/>
  <c r="AE97" i="42" s="1"/>
  <c r="AE98" i="42" s="1"/>
  <c r="AE99" i="42" s="1"/>
  <c r="AE100" i="42" s="1"/>
  <c r="AE101" i="42" s="1"/>
  <c r="AE102" i="42" s="1"/>
  <c r="AE103" i="42" s="1"/>
  <c r="AE104" i="42" s="1"/>
  <c r="AE105" i="42" s="1"/>
  <c r="AE106" i="42" s="1"/>
  <c r="AE107" i="42" s="1"/>
  <c r="AE108" i="42" s="1"/>
  <c r="AE109" i="42" s="1"/>
  <c r="AE110" i="42" s="1"/>
  <c r="AE111" i="42" s="1"/>
  <c r="AE112" i="42" s="1"/>
  <c r="AE113" i="42" s="1"/>
  <c r="AE114" i="42" s="1"/>
  <c r="AE115" i="42" s="1"/>
  <c r="AE116" i="42" s="1"/>
  <c r="AE117" i="42" s="1"/>
  <c r="AE118" i="42" s="1"/>
  <c r="AE119" i="42" s="1"/>
  <c r="AE120" i="42" s="1"/>
  <c r="AE121" i="42" s="1"/>
  <c r="AE122" i="42" s="1"/>
  <c r="AE123" i="42" s="1"/>
  <c r="AE124" i="42" s="1"/>
  <c r="AE125" i="42" s="1"/>
  <c r="AE126" i="42" s="1"/>
  <c r="AE127" i="42" s="1"/>
  <c r="AE128" i="42" s="1"/>
  <c r="AE129" i="42" s="1"/>
  <c r="AE130" i="42" s="1"/>
  <c r="AE131" i="42" s="1"/>
  <c r="AE132" i="42" s="1"/>
  <c r="AE133" i="42" s="1"/>
  <c r="AE134" i="42" s="1"/>
  <c r="AE135" i="42" s="1"/>
  <c r="AE136" i="42" s="1"/>
  <c r="AE137" i="42" s="1"/>
  <c r="AE138" i="42" s="1"/>
  <c r="AE139" i="42" s="1"/>
  <c r="AE140" i="42" s="1"/>
  <c r="AE141" i="42" s="1"/>
  <c r="AE142" i="42" s="1"/>
  <c r="AE143" i="42" s="1"/>
  <c r="AE144" i="42" s="1"/>
  <c r="AE145" i="42" s="1"/>
  <c r="AE146" i="42" s="1"/>
  <c r="AE147" i="42" s="1"/>
  <c r="AE148" i="42" s="1"/>
  <c r="AE149" i="42" s="1"/>
  <c r="AE150" i="42" s="1"/>
  <c r="AE151" i="42" s="1"/>
  <c r="AE152" i="42" s="1"/>
  <c r="AE153" i="42" s="1"/>
  <c r="AE154" i="42" s="1"/>
  <c r="AE155" i="42" s="1"/>
  <c r="AE156" i="42" s="1"/>
  <c r="AE157" i="42" s="1"/>
  <c r="AE158" i="42" s="1"/>
  <c r="AE159" i="42" s="1"/>
  <c r="AE160" i="42" s="1"/>
  <c r="AE161" i="42" s="1"/>
  <c r="AE162" i="42" s="1"/>
  <c r="AE163" i="42" s="1"/>
  <c r="AE164" i="42" s="1"/>
  <c r="AE165" i="42" s="1"/>
  <c r="AE166" i="42" s="1"/>
  <c r="AE167" i="42" s="1"/>
  <c r="AE168" i="42" s="1"/>
  <c r="AE169" i="42" s="1"/>
  <c r="AE170" i="42" s="1"/>
  <c r="AE171" i="42" s="1"/>
  <c r="AE172" i="42" s="1"/>
  <c r="AE173" i="42" s="1"/>
  <c r="AE174" i="42" s="1"/>
  <c r="AE175" i="42" s="1"/>
  <c r="AE176" i="42" s="1"/>
  <c r="AE177" i="42" s="1"/>
  <c r="AE178" i="42" s="1"/>
  <c r="AE179" i="42" s="1"/>
  <c r="AE180" i="42" s="1"/>
  <c r="AE181" i="42" s="1"/>
  <c r="AE182" i="42" s="1"/>
  <c r="AE183" i="42" s="1"/>
  <c r="AE184" i="42" s="1"/>
  <c r="AE185" i="42" s="1"/>
  <c r="AE186" i="42" s="1"/>
  <c r="AE187" i="42" s="1"/>
  <c r="AE188" i="42" s="1"/>
  <c r="AE189" i="42" s="1"/>
  <c r="AE190" i="42" s="1"/>
  <c r="AE191" i="42" s="1"/>
  <c r="AE192" i="42" s="1"/>
  <c r="AE193" i="42" s="1"/>
  <c r="AE194" i="42" s="1"/>
  <c r="AE195" i="42" s="1"/>
  <c r="AE196" i="42" s="1"/>
  <c r="AE197" i="42" s="1"/>
  <c r="AE198" i="42" s="1"/>
  <c r="AE199" i="42" s="1"/>
  <c r="AE200" i="42" s="1"/>
  <c r="AE201" i="42" s="1"/>
  <c r="AE202" i="42" s="1"/>
  <c r="AE203" i="42" s="1"/>
  <c r="AE204" i="42" s="1"/>
  <c r="AE205" i="42" s="1"/>
  <c r="AE206" i="42" s="1"/>
  <c r="AE207" i="42" s="1"/>
  <c r="AE208" i="42" s="1"/>
  <c r="AE209" i="42" s="1"/>
  <c r="AE210" i="42" s="1"/>
  <c r="AE211" i="42" s="1"/>
  <c r="AE212" i="42" s="1"/>
  <c r="AE213" i="42" s="1"/>
  <c r="AE214" i="42" s="1"/>
  <c r="AE215" i="42" s="1"/>
  <c r="AE216" i="42" s="1"/>
  <c r="AE217" i="42" s="1"/>
  <c r="AE218" i="42" s="1"/>
  <c r="AE219" i="42" s="1"/>
  <c r="AE220" i="42" s="1"/>
  <c r="AE221" i="42" s="1"/>
  <c r="AE222" i="42" s="1"/>
  <c r="AE223" i="42" s="1"/>
  <c r="AE224" i="42" s="1"/>
  <c r="AE225" i="42" s="1"/>
  <c r="AE226" i="42" s="1"/>
  <c r="AE227" i="42" s="1"/>
  <c r="AE228" i="42" s="1"/>
  <c r="AE229" i="42" s="1"/>
  <c r="AE230" i="42" s="1"/>
  <c r="AE231" i="42" s="1"/>
  <c r="AE232" i="42" s="1"/>
  <c r="AE233" i="42" s="1"/>
  <c r="AE234" i="42" s="1"/>
  <c r="AE235" i="42" s="1"/>
  <c r="AE236" i="42" s="1"/>
  <c r="AE237" i="42" s="1"/>
  <c r="AE238" i="42" s="1"/>
  <c r="AE239" i="42" s="1"/>
  <c r="AE240" i="42" s="1"/>
  <c r="AE241" i="42" s="1"/>
  <c r="AE242" i="42" s="1"/>
  <c r="AE243" i="42" s="1"/>
  <c r="AE244" i="42" s="1"/>
  <c r="AE245" i="42" s="1"/>
  <c r="AE246" i="42" s="1"/>
  <c r="AE247" i="42" s="1"/>
  <c r="AE248" i="42" s="1"/>
  <c r="AE249" i="42" s="1"/>
  <c r="AE250" i="42" s="1"/>
  <c r="AE251" i="42" s="1"/>
  <c r="AE252" i="42" s="1"/>
  <c r="AE253" i="42" s="1"/>
  <c r="AE254" i="42" s="1"/>
  <c r="AE255" i="42" s="1"/>
  <c r="AE256" i="42" s="1"/>
  <c r="AE257" i="42" s="1"/>
  <c r="AE258" i="42" s="1"/>
  <c r="AE259" i="42" s="1"/>
  <c r="AE260" i="42" s="1"/>
  <c r="AE261" i="42" s="1"/>
  <c r="AE262" i="42" s="1"/>
  <c r="AE263" i="42" s="1"/>
  <c r="AE264" i="42" s="1"/>
  <c r="AE265" i="42" s="1"/>
  <c r="AE266" i="42" s="1"/>
  <c r="AE267" i="42" s="1"/>
  <c r="AE268" i="42" s="1"/>
  <c r="AE269" i="42" s="1"/>
  <c r="AE270" i="42" s="1"/>
  <c r="AE271" i="42" s="1"/>
  <c r="AE272" i="42" s="1"/>
  <c r="AE273" i="42" s="1"/>
  <c r="AE274" i="42" s="1"/>
  <c r="AE275" i="42" s="1"/>
  <c r="AE276" i="42" s="1"/>
  <c r="AE277" i="42" s="1"/>
  <c r="AE278" i="42" s="1"/>
  <c r="AE279" i="42" s="1"/>
  <c r="AE280" i="42" s="1"/>
  <c r="AE281" i="42" s="1"/>
  <c r="AE282" i="42" s="1"/>
  <c r="AE283" i="42" s="1"/>
  <c r="AE284" i="42" s="1"/>
  <c r="AE285" i="42" s="1"/>
  <c r="AE286" i="42" s="1"/>
  <c r="AE287" i="42" s="1"/>
  <c r="AE288" i="42" s="1"/>
  <c r="AE289" i="42" s="1"/>
  <c r="AE290" i="42" s="1"/>
  <c r="AE291" i="42" s="1"/>
  <c r="AE292" i="42" s="1"/>
  <c r="AE293" i="42" s="1"/>
  <c r="AE294" i="42" s="1"/>
  <c r="AE295" i="42" s="1"/>
  <c r="AE296" i="42" s="1"/>
  <c r="AE297" i="42" s="1"/>
  <c r="AE298" i="42" s="1"/>
  <c r="AE299" i="42" s="1"/>
  <c r="AE300" i="42" s="1"/>
  <c r="AE301" i="42" s="1"/>
  <c r="AE302" i="42" s="1"/>
  <c r="AE303" i="42" s="1"/>
  <c r="AE304" i="42" s="1"/>
  <c r="AE305" i="42" s="1"/>
  <c r="AE306" i="42" s="1"/>
  <c r="AE307" i="42" s="1"/>
  <c r="AE308" i="42" s="1"/>
  <c r="AE309" i="42" s="1"/>
  <c r="AE310" i="42" s="1"/>
  <c r="AE311" i="42" s="1"/>
  <c r="AE312" i="42" s="1"/>
  <c r="AE313" i="42" s="1"/>
  <c r="AE314" i="42" s="1"/>
  <c r="AE315" i="42" s="1"/>
  <c r="AE316" i="42" s="1"/>
  <c r="AE317" i="42" s="1"/>
  <c r="AE318" i="42" s="1"/>
  <c r="AE319" i="42" s="1"/>
  <c r="AE320" i="42" s="1"/>
  <c r="AE321" i="42" s="1"/>
  <c r="AE322" i="42" s="1"/>
  <c r="AE323" i="42" s="1"/>
  <c r="AE324" i="42" s="1"/>
  <c r="AE325" i="42" s="1"/>
  <c r="AE326" i="42" s="1"/>
  <c r="AE327" i="42" s="1"/>
  <c r="AE328" i="42" s="1"/>
  <c r="AE329" i="42" s="1"/>
  <c r="AE330" i="42" s="1"/>
  <c r="AE331" i="42" s="1"/>
  <c r="AE332" i="42" s="1"/>
  <c r="AE333" i="42" s="1"/>
  <c r="AE334" i="42" s="1"/>
  <c r="AE335" i="42" s="1"/>
  <c r="AE336" i="42" s="1"/>
  <c r="AE337" i="42" s="1"/>
  <c r="AE338" i="42" s="1"/>
  <c r="AE339" i="42" s="1"/>
  <c r="AE340" i="42" s="1"/>
  <c r="AE341" i="42" s="1"/>
  <c r="AE342" i="42" s="1"/>
  <c r="AE343" i="42" s="1"/>
  <c r="AE344" i="42" s="1"/>
  <c r="AE345" i="42" s="1"/>
  <c r="AE346" i="42" s="1"/>
  <c r="AE347" i="42" s="1"/>
  <c r="AE348" i="42" s="1"/>
  <c r="AE349" i="42" s="1"/>
  <c r="AE350" i="42" s="1"/>
  <c r="AE351" i="42" s="1"/>
  <c r="AE352" i="42" s="1"/>
  <c r="AE353" i="42" s="1"/>
  <c r="AE354" i="42" s="1"/>
  <c r="AE355" i="42" s="1"/>
  <c r="AE356" i="42" s="1"/>
  <c r="AE357" i="42" s="1"/>
  <c r="AE358" i="42" s="1"/>
  <c r="AE359" i="42" s="1"/>
  <c r="AE360" i="42" s="1"/>
  <c r="AE361" i="42" s="1"/>
  <c r="AE362" i="42" s="1"/>
  <c r="AE363" i="42" s="1"/>
  <c r="AE364" i="42" s="1"/>
  <c r="AE365" i="42" s="1"/>
  <c r="AE366" i="42" s="1"/>
  <c r="AE367" i="42" s="1"/>
  <c r="AE368" i="42" s="1"/>
  <c r="AE369" i="42" s="1"/>
  <c r="AE370" i="42" s="1"/>
  <c r="AE371" i="42" s="1"/>
  <c r="AE372" i="42" s="1"/>
  <c r="AE373" i="42" s="1"/>
  <c r="AE374" i="42" s="1"/>
  <c r="AE375" i="42" s="1"/>
  <c r="AE376" i="42" s="1"/>
  <c r="AE377" i="42" s="1"/>
  <c r="AE378" i="42" s="1"/>
  <c r="AE379" i="42" s="1"/>
  <c r="AE380" i="42" s="1"/>
  <c r="AE381" i="42" s="1"/>
  <c r="AE382" i="42" s="1"/>
  <c r="AE383" i="42" s="1"/>
  <c r="AE384" i="42" s="1"/>
  <c r="AE385" i="42" s="1"/>
  <c r="AE386" i="42" s="1"/>
  <c r="AE387" i="42" s="1"/>
  <c r="AE388" i="42" s="1"/>
  <c r="AE389" i="42" s="1"/>
  <c r="AE390" i="42" s="1"/>
  <c r="AE391" i="42" s="1"/>
  <c r="AE392" i="42" s="1"/>
  <c r="AE393" i="42" s="1"/>
  <c r="AE394" i="42" s="1"/>
  <c r="AE395" i="42" s="1"/>
  <c r="AE396" i="42" s="1"/>
  <c r="AE397" i="42" s="1"/>
  <c r="AE398" i="42" s="1"/>
  <c r="AE399" i="42" s="1"/>
  <c r="AE400" i="42" s="1"/>
  <c r="AE401" i="42" s="1"/>
  <c r="AE402" i="42" s="1"/>
  <c r="AE403" i="42" s="1"/>
  <c r="AE404" i="42" s="1"/>
  <c r="AE405" i="42" s="1"/>
  <c r="AE406" i="42" s="1"/>
  <c r="AE407" i="42" s="1"/>
  <c r="AE408" i="42" s="1"/>
  <c r="AE409" i="42" s="1"/>
  <c r="AE410" i="42" s="1"/>
  <c r="AE411" i="42" s="1"/>
  <c r="AE412" i="42" s="1"/>
  <c r="AE413" i="42" s="1"/>
  <c r="AE414" i="42" s="1"/>
  <c r="AE415" i="42" s="1"/>
  <c r="AE416" i="42" s="1"/>
  <c r="AE417" i="42" s="1"/>
  <c r="AE418" i="42" s="1"/>
  <c r="AE419" i="42" s="1"/>
  <c r="AE420" i="42" s="1"/>
  <c r="AE421" i="42" s="1"/>
  <c r="AE422" i="42" s="1"/>
  <c r="AE423" i="42" s="1"/>
  <c r="AE424" i="42" s="1"/>
  <c r="AE425" i="42" s="1"/>
  <c r="AE426" i="42" s="1"/>
  <c r="AE427" i="42" s="1"/>
  <c r="AE428" i="42" s="1"/>
  <c r="AE429" i="42" s="1"/>
  <c r="AE430" i="42" s="1"/>
  <c r="AE431" i="42" s="1"/>
  <c r="AE432" i="42" s="1"/>
  <c r="AE433" i="42" s="1"/>
  <c r="AE434" i="42" s="1"/>
  <c r="AE435" i="42" s="1"/>
  <c r="AE436" i="42" s="1"/>
  <c r="AE437" i="42" s="1"/>
  <c r="AE438" i="42" s="1"/>
  <c r="AE439" i="42" s="1"/>
  <c r="AE440" i="42" s="1"/>
  <c r="AE441" i="42" s="1"/>
  <c r="AE442" i="42" s="1"/>
  <c r="AE443" i="42" s="1"/>
  <c r="AE444" i="42" s="1"/>
  <c r="AE445" i="42" s="1"/>
  <c r="AE446" i="42" s="1"/>
  <c r="AE447" i="42" s="1"/>
  <c r="AE448" i="42" s="1"/>
  <c r="AE449" i="42" s="1"/>
  <c r="AE450" i="42" s="1"/>
  <c r="AE451" i="42" s="1"/>
  <c r="AE452" i="42" s="1"/>
  <c r="AE453" i="42" s="1"/>
  <c r="AE454" i="42" s="1"/>
  <c r="AE455" i="42" s="1"/>
  <c r="AE456" i="42" s="1"/>
  <c r="AE457" i="42" s="1"/>
  <c r="AE458" i="42" s="1"/>
  <c r="AE459" i="42" s="1"/>
  <c r="AE460" i="42" s="1"/>
  <c r="AE461" i="42" s="1"/>
  <c r="AE462" i="42" s="1"/>
  <c r="AE463" i="42" s="1"/>
  <c r="AE464" i="42" s="1"/>
  <c r="AE465" i="42" s="1"/>
  <c r="AE466" i="42" s="1"/>
  <c r="AE467" i="42" s="1"/>
  <c r="AE468" i="42" s="1"/>
  <c r="AE469" i="42" s="1"/>
  <c r="AE470" i="42" s="1"/>
  <c r="AE471" i="42" s="1"/>
  <c r="AE472" i="42" s="1"/>
  <c r="AE473" i="42" s="1"/>
  <c r="AE474" i="42" s="1"/>
  <c r="AE475" i="42" s="1"/>
  <c r="AE476" i="42" s="1"/>
  <c r="AE477" i="42" s="1"/>
  <c r="AE478" i="42" s="1"/>
  <c r="AE479" i="42" s="1"/>
  <c r="AE480" i="42" s="1"/>
  <c r="AE481" i="42" s="1"/>
  <c r="AE482" i="42" s="1"/>
  <c r="AE483" i="42" s="1"/>
  <c r="AE484" i="42" s="1"/>
  <c r="AE485" i="42" s="1"/>
  <c r="AE486" i="42" s="1"/>
  <c r="AE487" i="42" s="1"/>
  <c r="AE488" i="42" s="1"/>
  <c r="AE489" i="42" s="1"/>
  <c r="AE490" i="42" s="1"/>
  <c r="AE491" i="42" s="1"/>
  <c r="AE492" i="42" s="1"/>
  <c r="AE493" i="42" s="1"/>
  <c r="AE494" i="42" s="1"/>
  <c r="AE495" i="42" s="1"/>
  <c r="AE496" i="42" s="1"/>
  <c r="AE497" i="42" s="1"/>
  <c r="AE498" i="42" s="1"/>
  <c r="AE499" i="42" s="1"/>
  <c r="AE500" i="42" s="1"/>
  <c r="AE501" i="42" s="1"/>
  <c r="AE502" i="42" s="1"/>
  <c r="AE503" i="42" s="1"/>
  <c r="AE504" i="42" s="1"/>
  <c r="AE505" i="42" s="1"/>
  <c r="AE506" i="42" s="1"/>
  <c r="AE507" i="42" s="1"/>
  <c r="AE508" i="42" s="1"/>
  <c r="AE509" i="42" s="1"/>
  <c r="AE510" i="42" s="1"/>
  <c r="AE511" i="42" s="1"/>
  <c r="AE512" i="42" s="1"/>
  <c r="AE513" i="42" s="1"/>
  <c r="AE514" i="42" s="1"/>
  <c r="AE515" i="42" s="1"/>
  <c r="AE516" i="42" s="1"/>
  <c r="AE517" i="42" s="1"/>
  <c r="AE518" i="42" s="1"/>
  <c r="AE519" i="42" s="1"/>
  <c r="AE520" i="42" s="1"/>
  <c r="AE521" i="42" s="1"/>
  <c r="AE522" i="42" s="1"/>
  <c r="AE523" i="42" s="1"/>
  <c r="AE524" i="42" s="1"/>
  <c r="AE525" i="42" s="1"/>
  <c r="AE526" i="42" s="1"/>
  <c r="AE527" i="42" s="1"/>
  <c r="AE528" i="42" s="1"/>
  <c r="AE529" i="42" s="1"/>
  <c r="AE530" i="42" s="1"/>
  <c r="AE531" i="42" s="1"/>
  <c r="AE532" i="42" s="1"/>
  <c r="AE533" i="42" s="1"/>
  <c r="AE534" i="42" s="1"/>
  <c r="AE535" i="42" s="1"/>
  <c r="AE536" i="42" s="1"/>
  <c r="AE537" i="42" s="1"/>
  <c r="AE538" i="42" s="1"/>
  <c r="AE539" i="42" s="1"/>
  <c r="AE540" i="42" s="1"/>
  <c r="AE541" i="42" s="1"/>
  <c r="AE542" i="42" s="1"/>
  <c r="AE543" i="42" s="1"/>
  <c r="AE544" i="42" s="1"/>
  <c r="AE545" i="42" s="1"/>
  <c r="AE546" i="42" s="1"/>
  <c r="AE547" i="42" s="1"/>
  <c r="AE548" i="42" s="1"/>
  <c r="AE549" i="42" s="1"/>
  <c r="AE550" i="42" s="1"/>
  <c r="AE551" i="42" s="1"/>
  <c r="AE552" i="42" s="1"/>
  <c r="AE553" i="42" s="1"/>
  <c r="AE554" i="42" s="1"/>
  <c r="AE555" i="42" s="1"/>
  <c r="AE556" i="42" s="1"/>
  <c r="AE557" i="42" s="1"/>
  <c r="AE558" i="42" s="1"/>
  <c r="AE559" i="42" s="1"/>
  <c r="AE560" i="42" s="1"/>
  <c r="AE561" i="42" s="1"/>
  <c r="AE562" i="42" s="1"/>
  <c r="AE563" i="42" s="1"/>
  <c r="AE564" i="42" s="1"/>
  <c r="AE565" i="42" s="1"/>
  <c r="AE566" i="42" s="1"/>
  <c r="AE567" i="42" s="1"/>
  <c r="AE568" i="42" s="1"/>
  <c r="AE569" i="42" s="1"/>
  <c r="AE570" i="42" s="1"/>
  <c r="AE571" i="42" s="1"/>
  <c r="AE572" i="42" s="1"/>
  <c r="AE573" i="42" s="1"/>
  <c r="AE574" i="42" s="1"/>
  <c r="AE575" i="42" s="1"/>
  <c r="AE576" i="42" s="1"/>
  <c r="AE577" i="42" s="1"/>
  <c r="AE578" i="42" s="1"/>
  <c r="AE579" i="42" s="1"/>
  <c r="AE580" i="42" s="1"/>
  <c r="AE581" i="42" s="1"/>
  <c r="AE582" i="42" s="1"/>
  <c r="AE583" i="42" s="1"/>
  <c r="AE584" i="42" s="1"/>
  <c r="AE585" i="42" s="1"/>
  <c r="AE586" i="42" s="1"/>
  <c r="AE587" i="42" s="1"/>
  <c r="AE588" i="42" s="1"/>
  <c r="AE589" i="42" s="1"/>
  <c r="AE590" i="42" s="1"/>
  <c r="AE591" i="42" s="1"/>
  <c r="AE592" i="42" s="1"/>
  <c r="AE593" i="42" s="1"/>
  <c r="AE594" i="42" s="1"/>
  <c r="AE595" i="42" s="1"/>
  <c r="AE596" i="42" s="1"/>
  <c r="AE597" i="42" s="1"/>
  <c r="AE598" i="42" s="1"/>
  <c r="AE599" i="42" s="1"/>
  <c r="AE600" i="42" s="1"/>
  <c r="AE601" i="42" s="1"/>
  <c r="AE602" i="42" s="1"/>
  <c r="AE603" i="42" s="1"/>
  <c r="AE604" i="42" s="1"/>
  <c r="AE605" i="42" s="1"/>
  <c r="AE606" i="42" s="1"/>
  <c r="AE607" i="42" s="1"/>
  <c r="AE608" i="42" s="1"/>
  <c r="AE609" i="42" s="1"/>
  <c r="AE610" i="42" s="1"/>
  <c r="AE611" i="42" s="1"/>
  <c r="AE612" i="42" s="1"/>
  <c r="AE613" i="42" s="1"/>
  <c r="AE614" i="42" s="1"/>
  <c r="AE615" i="42" s="1"/>
  <c r="AE616" i="42" s="1"/>
  <c r="AE617" i="42" s="1"/>
  <c r="AE618" i="42" s="1"/>
  <c r="AE619" i="42" s="1"/>
  <c r="AE620" i="42" s="1"/>
  <c r="AE621" i="42" s="1"/>
  <c r="AE622" i="42" s="1"/>
  <c r="AE623" i="42" s="1"/>
  <c r="AE624" i="42" s="1"/>
  <c r="AE625" i="42" s="1"/>
  <c r="AE626" i="42" s="1"/>
  <c r="AE627" i="42" s="1"/>
  <c r="AE628" i="42" s="1"/>
  <c r="AE629" i="42" s="1"/>
  <c r="AE630" i="42" s="1"/>
  <c r="AE631" i="42" s="1"/>
  <c r="AE632" i="42" s="1"/>
  <c r="AE633" i="42" s="1"/>
  <c r="AE634" i="42" s="1"/>
  <c r="AE635" i="42" s="1"/>
  <c r="AE636" i="42" s="1"/>
  <c r="AE637" i="42" s="1"/>
  <c r="AE638" i="42" s="1"/>
  <c r="AE639" i="42" s="1"/>
  <c r="AE640" i="42" s="1"/>
  <c r="AE641" i="42" s="1"/>
  <c r="AE642" i="42" s="1"/>
  <c r="AE643" i="42" s="1"/>
  <c r="AE644" i="42" s="1"/>
  <c r="AE645" i="42" s="1"/>
  <c r="AE646" i="42" s="1"/>
  <c r="AE647" i="42" s="1"/>
  <c r="AE648" i="42" s="1"/>
  <c r="AE649" i="42" s="1"/>
  <c r="AE650" i="42" s="1"/>
  <c r="AE651" i="42" s="1"/>
  <c r="AE652" i="42" s="1"/>
  <c r="AE653" i="42" s="1"/>
  <c r="AE654" i="42" s="1"/>
  <c r="AE655" i="42" s="1"/>
  <c r="AE656" i="42" s="1"/>
  <c r="AE657" i="42" s="1"/>
  <c r="AE658" i="42" s="1"/>
  <c r="AE659" i="42" s="1"/>
  <c r="AE660" i="42" s="1"/>
  <c r="AE661" i="42" s="1"/>
  <c r="AE662" i="42" s="1"/>
  <c r="AE663" i="42" s="1"/>
  <c r="AE664" i="42" s="1"/>
  <c r="AE665" i="42" s="1"/>
  <c r="AE666" i="42" s="1"/>
  <c r="AE667" i="42" s="1"/>
  <c r="AE668" i="42" s="1"/>
  <c r="AE669" i="42" s="1"/>
  <c r="AE670" i="42" s="1"/>
  <c r="AE671" i="42" s="1"/>
  <c r="AE672" i="42" s="1"/>
  <c r="AE673" i="42" s="1"/>
  <c r="AE674" i="42" s="1"/>
  <c r="AE675" i="42" s="1"/>
  <c r="AE676" i="42" s="1"/>
  <c r="AE677" i="42" s="1"/>
  <c r="AE678" i="42" s="1"/>
  <c r="AE679" i="42" s="1"/>
  <c r="AE680" i="42" s="1"/>
  <c r="AE681" i="42" s="1"/>
  <c r="AE682" i="42" s="1"/>
  <c r="AE683" i="42" s="1"/>
  <c r="AE684" i="42" s="1"/>
  <c r="AE685" i="42" s="1"/>
  <c r="AE686" i="42" s="1"/>
  <c r="AE687" i="42" s="1"/>
  <c r="AE688" i="42" s="1"/>
  <c r="AE689" i="42" s="1"/>
  <c r="AE690" i="42" s="1"/>
  <c r="AE691" i="42" s="1"/>
  <c r="AE692" i="42" s="1"/>
  <c r="AE693" i="42" s="1"/>
  <c r="AE694" i="42" s="1"/>
  <c r="AE695" i="42" s="1"/>
  <c r="AE696" i="42" s="1"/>
  <c r="AE697" i="42" s="1"/>
  <c r="AE698" i="42" s="1"/>
  <c r="AE699" i="42" s="1"/>
  <c r="AE700" i="42" s="1"/>
  <c r="AE701" i="42" s="1"/>
  <c r="AE702" i="42" s="1"/>
  <c r="AE703" i="42" s="1"/>
  <c r="AE704" i="42" s="1"/>
  <c r="AE705" i="42" s="1"/>
  <c r="AE706" i="42" s="1"/>
  <c r="AE707" i="42" s="1"/>
  <c r="AE708" i="42" s="1"/>
  <c r="AE709" i="42" s="1"/>
  <c r="AE710" i="42" s="1"/>
  <c r="AE711" i="42" s="1"/>
  <c r="AE712" i="42" s="1"/>
  <c r="AE713" i="42" s="1"/>
  <c r="AE714" i="42" s="1"/>
  <c r="AE715" i="42" s="1"/>
  <c r="AE716" i="42" s="1"/>
  <c r="AE717" i="42" s="1"/>
  <c r="AE718" i="42" s="1"/>
  <c r="AE719" i="42" s="1"/>
  <c r="AE720" i="42" s="1"/>
  <c r="AE721" i="42" s="1"/>
  <c r="AE722" i="42" s="1"/>
  <c r="AE723" i="42" s="1"/>
  <c r="AE724" i="42" s="1"/>
  <c r="AE725" i="42" s="1"/>
  <c r="AE726" i="42" s="1"/>
  <c r="AE727" i="42" s="1"/>
  <c r="AE728" i="42" s="1"/>
  <c r="AE729" i="42" s="1"/>
  <c r="AE730" i="42" s="1"/>
  <c r="AE731" i="42" s="1"/>
  <c r="AE732" i="42" s="1"/>
  <c r="AE733" i="42" s="1"/>
  <c r="AE734" i="42" s="1"/>
  <c r="AE735" i="42" s="1"/>
  <c r="AE736" i="42" s="1"/>
  <c r="AE737" i="42" s="1"/>
  <c r="AE738" i="42" s="1"/>
  <c r="AE739" i="42" s="1"/>
  <c r="AE740" i="42" s="1"/>
  <c r="AE741" i="42" s="1"/>
  <c r="AE742" i="42" s="1"/>
  <c r="AE743" i="42" s="1"/>
  <c r="AE744" i="42" s="1"/>
  <c r="AE745" i="42" s="1"/>
  <c r="AE746" i="42" s="1"/>
  <c r="AE747" i="42" s="1"/>
  <c r="AE748" i="42" s="1"/>
  <c r="AE749" i="42" s="1"/>
  <c r="AE750" i="42" s="1"/>
  <c r="AE751" i="42" s="1"/>
  <c r="AE752" i="42" s="1"/>
  <c r="AE753" i="42" s="1"/>
  <c r="AE754" i="42" s="1"/>
  <c r="AE755" i="42" s="1"/>
  <c r="AE756" i="42" s="1"/>
  <c r="AE757" i="42" s="1"/>
  <c r="AE758" i="42" s="1"/>
  <c r="AE759" i="42" s="1"/>
  <c r="AE760" i="42" s="1"/>
  <c r="AE761" i="42" s="1"/>
  <c r="AE762" i="42" s="1"/>
  <c r="AE763" i="42" s="1"/>
  <c r="AE764" i="42" s="1"/>
  <c r="AE765" i="42" s="1"/>
  <c r="AE766" i="42" s="1"/>
  <c r="AE767" i="42" s="1"/>
  <c r="AE768" i="42" s="1"/>
  <c r="AE769" i="42" s="1"/>
  <c r="AE770" i="42" s="1"/>
  <c r="AE771" i="42" s="1"/>
  <c r="AE772" i="42" s="1"/>
  <c r="AE773" i="42" s="1"/>
  <c r="AE774" i="42" s="1"/>
  <c r="AE775" i="42" s="1"/>
  <c r="AE776" i="42" s="1"/>
  <c r="AE777" i="42" s="1"/>
  <c r="AE778" i="42" s="1"/>
  <c r="AE779" i="42" s="1"/>
  <c r="AE780" i="42" s="1"/>
  <c r="AE781" i="42" s="1"/>
  <c r="AE782" i="42" s="1"/>
  <c r="AE783" i="42" s="1"/>
  <c r="AE784" i="42" s="1"/>
  <c r="AE785" i="42" s="1"/>
  <c r="AE786" i="42" s="1"/>
  <c r="AE787" i="42" s="1"/>
  <c r="AE788" i="42" s="1"/>
  <c r="AE789" i="42" s="1"/>
  <c r="AE790" i="42" s="1"/>
  <c r="AE791" i="42" s="1"/>
  <c r="AE792" i="42" s="1"/>
  <c r="AE793" i="42" s="1"/>
  <c r="AE794" i="42" s="1"/>
  <c r="AE795" i="42" s="1"/>
  <c r="AE796" i="42" s="1"/>
  <c r="AE797" i="42" s="1"/>
  <c r="AE798" i="42" s="1"/>
  <c r="AE799" i="42" s="1"/>
  <c r="AE800" i="42" s="1"/>
  <c r="AE801" i="42" s="1"/>
  <c r="AE802" i="42" s="1"/>
  <c r="AE803" i="42" s="1"/>
  <c r="AE804" i="42" s="1"/>
  <c r="AE805" i="42" s="1"/>
  <c r="AE806" i="42" s="1"/>
  <c r="AE807" i="42" s="1"/>
  <c r="AE808" i="42" s="1"/>
  <c r="AE809" i="42" s="1"/>
  <c r="AE810" i="42" s="1"/>
  <c r="AE811" i="42" s="1"/>
  <c r="AE812" i="42" s="1"/>
  <c r="AE813" i="42" s="1"/>
  <c r="AE814" i="42" s="1"/>
  <c r="AE815" i="42" s="1"/>
  <c r="AE816" i="42" s="1"/>
  <c r="AE817" i="42" s="1"/>
  <c r="AE818" i="42" s="1"/>
  <c r="AE819" i="42" s="1"/>
  <c r="AE820" i="42" s="1"/>
  <c r="AE821" i="42" s="1"/>
  <c r="AE822" i="42" s="1"/>
  <c r="AE823" i="42" s="1"/>
  <c r="AE824" i="42" s="1"/>
  <c r="AE825" i="42" s="1"/>
  <c r="AE826" i="42" s="1"/>
  <c r="AE827" i="42" s="1"/>
  <c r="AE828" i="42" s="1"/>
  <c r="AE829" i="42" s="1"/>
  <c r="AE830" i="42" s="1"/>
  <c r="AE831" i="42" s="1"/>
  <c r="AE832" i="42" s="1"/>
  <c r="AE833" i="42" s="1"/>
  <c r="AE834" i="42" s="1"/>
  <c r="AE835" i="42" s="1"/>
  <c r="AE836" i="42" s="1"/>
  <c r="AE837" i="42" s="1"/>
  <c r="AE838" i="42" s="1"/>
  <c r="AE839" i="42" s="1"/>
  <c r="AE840" i="42" s="1"/>
  <c r="AE841" i="42" s="1"/>
  <c r="AE842" i="42" s="1"/>
  <c r="AE843" i="42" s="1"/>
  <c r="AE844" i="42" s="1"/>
  <c r="AE845" i="42" s="1"/>
  <c r="AE846" i="42" s="1"/>
  <c r="AE847" i="42" s="1"/>
  <c r="AE848" i="42" s="1"/>
  <c r="AE849" i="42" s="1"/>
  <c r="AE850" i="42" s="1"/>
  <c r="AE851" i="42" s="1"/>
  <c r="AE852" i="42" s="1"/>
  <c r="AE853" i="42" s="1"/>
  <c r="AE854" i="42" s="1"/>
  <c r="AE855" i="42" s="1"/>
  <c r="AE856" i="42" s="1"/>
  <c r="AE857" i="42" s="1"/>
  <c r="AE858" i="42" s="1"/>
  <c r="AE859" i="42" s="1"/>
  <c r="AE860" i="42" s="1"/>
  <c r="AE861" i="42" s="1"/>
  <c r="AE862" i="42" s="1"/>
  <c r="AE863" i="42" s="1"/>
  <c r="AE864" i="42" s="1"/>
  <c r="AE865" i="42" s="1"/>
  <c r="AE866" i="42" s="1"/>
  <c r="AE867" i="42" s="1"/>
  <c r="AE868" i="42" s="1"/>
  <c r="AE869" i="42" s="1"/>
  <c r="AE870" i="42" s="1"/>
  <c r="AE871" i="42" s="1"/>
  <c r="AE872" i="42" s="1"/>
  <c r="AE873" i="42" s="1"/>
  <c r="AE874" i="42" s="1"/>
  <c r="AE875" i="42" s="1"/>
  <c r="AE876" i="42" s="1"/>
  <c r="AE877" i="42" s="1"/>
  <c r="AE878" i="42" s="1"/>
  <c r="AE879" i="42" s="1"/>
  <c r="AE880" i="42" s="1"/>
  <c r="AE881" i="42" s="1"/>
  <c r="AE882" i="42" s="1"/>
  <c r="AE883" i="42" s="1"/>
  <c r="AE884" i="42" s="1"/>
  <c r="AE885" i="42" s="1"/>
  <c r="AE886" i="42" s="1"/>
  <c r="AE887" i="42" s="1"/>
  <c r="AE888" i="42" s="1"/>
  <c r="AE889" i="42" s="1"/>
  <c r="AE890" i="42" s="1"/>
  <c r="AE891" i="42" s="1"/>
  <c r="AE892" i="42" s="1"/>
  <c r="AE893" i="42" s="1"/>
  <c r="AE894" i="42" s="1"/>
  <c r="AE895" i="42" s="1"/>
  <c r="AE896" i="42" s="1"/>
  <c r="AE897" i="42" s="1"/>
  <c r="AE898" i="42" s="1"/>
  <c r="AE899" i="42" s="1"/>
  <c r="AE900" i="42" s="1"/>
  <c r="AE901" i="42" s="1"/>
  <c r="AE902" i="42" s="1"/>
  <c r="AE903" i="42" s="1"/>
  <c r="AE904" i="42" s="1"/>
  <c r="AE905" i="42" s="1"/>
  <c r="AE906" i="42" s="1"/>
  <c r="AE907" i="42" s="1"/>
  <c r="AE908" i="42" s="1"/>
  <c r="AE909" i="42" s="1"/>
  <c r="AE910" i="42" s="1"/>
  <c r="AE911" i="42" s="1"/>
  <c r="AE912" i="42" s="1"/>
  <c r="AE913" i="42" s="1"/>
  <c r="AE914" i="42" s="1"/>
  <c r="AE915" i="42" s="1"/>
  <c r="AE916" i="42" s="1"/>
  <c r="AE917" i="42" s="1"/>
  <c r="AE918" i="42" s="1"/>
  <c r="AE919" i="42" s="1"/>
  <c r="AE920" i="42" s="1"/>
  <c r="AE921" i="42" s="1"/>
  <c r="AE922" i="42" s="1"/>
  <c r="AE923" i="42" s="1"/>
  <c r="AE924" i="42" s="1"/>
  <c r="AE925" i="42" s="1"/>
  <c r="AE926" i="42" s="1"/>
  <c r="AE927" i="42" s="1"/>
  <c r="AE928" i="42" s="1"/>
  <c r="AE929" i="42" s="1"/>
  <c r="AE930" i="42" s="1"/>
  <c r="AE931" i="42" s="1"/>
  <c r="AE932" i="42" s="1"/>
  <c r="AE933" i="42" s="1"/>
  <c r="AE934" i="42" s="1"/>
  <c r="AE935" i="42" s="1"/>
  <c r="AE936" i="42" s="1"/>
  <c r="AE937" i="42" s="1"/>
  <c r="AE938" i="42" s="1"/>
  <c r="AE939" i="42" s="1"/>
  <c r="AE940" i="42" s="1"/>
  <c r="AE941" i="42" s="1"/>
  <c r="AE942" i="42" s="1"/>
  <c r="AE943" i="42" s="1"/>
  <c r="AE944" i="42" s="1"/>
  <c r="AE945" i="42" s="1"/>
  <c r="AE946" i="42" s="1"/>
  <c r="AE947" i="42" s="1"/>
  <c r="AE948" i="42" s="1"/>
  <c r="AE949" i="42" s="1"/>
  <c r="AE950" i="42" s="1"/>
  <c r="AE951" i="42" s="1"/>
  <c r="AE952" i="42" s="1"/>
  <c r="AE953" i="42" s="1"/>
  <c r="AE954" i="42" s="1"/>
  <c r="AE955" i="42" s="1"/>
  <c r="AE956" i="42" s="1"/>
  <c r="AE957" i="42" s="1"/>
  <c r="AE958" i="42" s="1"/>
  <c r="AE959" i="42" s="1"/>
  <c r="AE960" i="42" s="1"/>
  <c r="AE961" i="42" s="1"/>
  <c r="AE962" i="42" s="1"/>
  <c r="AE963" i="42" s="1"/>
  <c r="AE964" i="42" s="1"/>
  <c r="AE965" i="42" s="1"/>
  <c r="AE966" i="42" s="1"/>
  <c r="AE967" i="42" s="1"/>
  <c r="AE968" i="42" s="1"/>
  <c r="AE969" i="42" s="1"/>
  <c r="AE970" i="42" s="1"/>
  <c r="AE971" i="42" s="1"/>
  <c r="AE972" i="42" s="1"/>
  <c r="AE973" i="42" s="1"/>
  <c r="AE974" i="42" s="1"/>
  <c r="AE975" i="42" s="1"/>
  <c r="AE976" i="42" s="1"/>
  <c r="AE977" i="42" s="1"/>
  <c r="AE978" i="42" s="1"/>
  <c r="AE979" i="42" s="1"/>
  <c r="AE980" i="42" s="1"/>
  <c r="AE981" i="42" s="1"/>
  <c r="AE982" i="42" s="1"/>
  <c r="AE983" i="42" s="1"/>
  <c r="AE984" i="42" s="1"/>
  <c r="AE985" i="42" s="1"/>
  <c r="AE986" i="42" s="1"/>
  <c r="AE987" i="42" s="1"/>
  <c r="AE988" i="42" s="1"/>
  <c r="AE989" i="42" s="1"/>
  <c r="AE990" i="42" s="1"/>
  <c r="AE991" i="42" s="1"/>
  <c r="AE992" i="42" s="1"/>
  <c r="AE993" i="42" s="1"/>
  <c r="AE994" i="42" s="1"/>
  <c r="AE995" i="42" s="1"/>
  <c r="AE996" i="42" s="1"/>
  <c r="AE997" i="42" s="1"/>
  <c r="AE998" i="42" s="1"/>
  <c r="AE999" i="42" s="1"/>
  <c r="AE1000" i="42" s="1"/>
  <c r="AE1001" i="42" s="1"/>
  <c r="AE1002" i="42" s="1"/>
  <c r="AE1003" i="42" s="1"/>
  <c r="AF4" i="42" l="1"/>
  <c r="AF5" i="42" s="1"/>
  <c r="AF6" i="42" s="1"/>
  <c r="AF7" i="42" s="1"/>
  <c r="AF8" i="42" s="1"/>
  <c r="AF9" i="42" s="1"/>
  <c r="AF10" i="42" s="1"/>
  <c r="AF11" i="42" s="1"/>
  <c r="AF12" i="42" s="1"/>
  <c r="AF13" i="42" s="1"/>
  <c r="AF14" i="42" s="1"/>
  <c r="AF15" i="42" s="1"/>
  <c r="AF16" i="42" s="1"/>
  <c r="AF17" i="42" s="1"/>
  <c r="AF18" i="42" s="1"/>
  <c r="AF19" i="42" s="1"/>
  <c r="AF20" i="42" s="1"/>
  <c r="AF21" i="42" s="1"/>
  <c r="AF22" i="42" s="1"/>
  <c r="AF23" i="42" s="1"/>
  <c r="AF24" i="42" s="1"/>
  <c r="AF25" i="42" s="1"/>
  <c r="AF26" i="42" s="1"/>
  <c r="AF27" i="42" s="1"/>
  <c r="AF28" i="42" s="1"/>
  <c r="AF29" i="42" s="1"/>
  <c r="AF30" i="42" s="1"/>
  <c r="AF31" i="42" s="1"/>
  <c r="AF32" i="42" s="1"/>
  <c r="AF33" i="42" s="1"/>
  <c r="AF34" i="42" s="1"/>
  <c r="AF35" i="42" s="1"/>
  <c r="AF36" i="42" s="1"/>
  <c r="AF37" i="42" s="1"/>
  <c r="AF38" i="42" s="1"/>
  <c r="AF39" i="42" s="1"/>
  <c r="AF40" i="42" s="1"/>
  <c r="AF41" i="42" s="1"/>
  <c r="AF42" i="42" s="1"/>
  <c r="AF43" i="42" s="1"/>
  <c r="AF44" i="42" s="1"/>
  <c r="AF45" i="42" s="1"/>
  <c r="AF46" i="42" s="1"/>
  <c r="AF47" i="42" s="1"/>
  <c r="AF48" i="42" s="1"/>
  <c r="AF49" i="42" s="1"/>
  <c r="AF50" i="42" s="1"/>
  <c r="AF51" i="42" s="1"/>
  <c r="AF52" i="42" s="1"/>
  <c r="AF53" i="42" s="1"/>
  <c r="AF54" i="42" s="1"/>
  <c r="AF55" i="42" s="1"/>
  <c r="AF56" i="42" s="1"/>
  <c r="AF57" i="42" s="1"/>
  <c r="AF58" i="42" s="1"/>
  <c r="AF59" i="42" s="1"/>
  <c r="AF60" i="42" s="1"/>
  <c r="AF61" i="42" s="1"/>
  <c r="AF62" i="42" s="1"/>
  <c r="AF63" i="42" s="1"/>
  <c r="AF64" i="42" s="1"/>
  <c r="AF65" i="42" s="1"/>
  <c r="AF66" i="42" s="1"/>
  <c r="AF67" i="42" s="1"/>
  <c r="AF68" i="42" s="1"/>
  <c r="AF69" i="42" s="1"/>
  <c r="AF70" i="42" s="1"/>
  <c r="AF71" i="42" s="1"/>
  <c r="AF72" i="42" s="1"/>
  <c r="AF73" i="42" s="1"/>
  <c r="AF74" i="42" s="1"/>
  <c r="AF75" i="42" s="1"/>
  <c r="AF76" i="42" s="1"/>
  <c r="AF77" i="42" s="1"/>
  <c r="AF78" i="42" s="1"/>
  <c r="AF79" i="42" s="1"/>
  <c r="AF80" i="42" s="1"/>
  <c r="AF81" i="42" s="1"/>
  <c r="AF82" i="42" s="1"/>
  <c r="AF83" i="42" s="1"/>
  <c r="AF84" i="42" s="1"/>
  <c r="AF85" i="42" s="1"/>
  <c r="AF86" i="42" s="1"/>
  <c r="AF87" i="42" s="1"/>
  <c r="AF88" i="42" s="1"/>
  <c r="AF89" i="42" s="1"/>
  <c r="AF90" i="42" s="1"/>
  <c r="AF91" i="42" s="1"/>
  <c r="AF92" i="42" s="1"/>
  <c r="AF93" i="42" s="1"/>
  <c r="AF94" i="42" s="1"/>
  <c r="AF95" i="42" s="1"/>
  <c r="AF96" i="42" s="1"/>
  <c r="AF97" i="42" s="1"/>
  <c r="AF98" i="42" s="1"/>
  <c r="AF99" i="42" s="1"/>
  <c r="AF100" i="42" s="1"/>
  <c r="AF101" i="42" s="1"/>
  <c r="AF102" i="42" s="1"/>
  <c r="AF103" i="42" s="1"/>
  <c r="AF104" i="42" s="1"/>
  <c r="AF105" i="42" s="1"/>
  <c r="AF106" i="42" s="1"/>
  <c r="AF107" i="42" s="1"/>
  <c r="AF108" i="42" s="1"/>
  <c r="AF109" i="42" s="1"/>
  <c r="AF110" i="42" s="1"/>
  <c r="AF111" i="42" s="1"/>
  <c r="AF112" i="42" s="1"/>
  <c r="AF113" i="42" s="1"/>
  <c r="AF114" i="42" s="1"/>
  <c r="AF115" i="42" s="1"/>
  <c r="AF116" i="42" s="1"/>
  <c r="AF117" i="42" s="1"/>
  <c r="AF118" i="42" s="1"/>
  <c r="AF119" i="42" s="1"/>
  <c r="AF120" i="42" s="1"/>
  <c r="AF121" i="42" s="1"/>
  <c r="AF122" i="42" s="1"/>
  <c r="AF123" i="42" s="1"/>
  <c r="AF124" i="42" s="1"/>
  <c r="AF125" i="42" s="1"/>
  <c r="AF126" i="42" s="1"/>
  <c r="AF127" i="42" s="1"/>
  <c r="AF128" i="42" s="1"/>
  <c r="AF129" i="42" s="1"/>
  <c r="AF130" i="42" s="1"/>
  <c r="AF131" i="42" s="1"/>
  <c r="AF132" i="42" s="1"/>
  <c r="AF133" i="42" s="1"/>
  <c r="AF134" i="42" s="1"/>
  <c r="AF135" i="42" s="1"/>
  <c r="AF136" i="42" s="1"/>
  <c r="AF137" i="42" s="1"/>
  <c r="AF138" i="42" s="1"/>
  <c r="AF139" i="42" s="1"/>
  <c r="AF140" i="42" s="1"/>
  <c r="AF141" i="42" s="1"/>
  <c r="AF142" i="42" s="1"/>
  <c r="AF143" i="42" s="1"/>
  <c r="AF144" i="42" s="1"/>
  <c r="AF145" i="42" s="1"/>
  <c r="AF146" i="42" s="1"/>
  <c r="AF147" i="42" s="1"/>
  <c r="AF148" i="42" s="1"/>
  <c r="AF149" i="42" s="1"/>
  <c r="AF150" i="42" s="1"/>
  <c r="AF151" i="42" s="1"/>
  <c r="AF152" i="42" s="1"/>
  <c r="AF153" i="42" s="1"/>
  <c r="AF154" i="42" s="1"/>
  <c r="AF155" i="42" s="1"/>
  <c r="AF156" i="42" s="1"/>
  <c r="AF157" i="42" s="1"/>
  <c r="AF158" i="42" s="1"/>
  <c r="AF159" i="42" s="1"/>
  <c r="AF160" i="42" s="1"/>
  <c r="AF161" i="42" s="1"/>
  <c r="AF162" i="42" s="1"/>
  <c r="AF163" i="42" s="1"/>
  <c r="AF164" i="42" s="1"/>
  <c r="AF165" i="42" s="1"/>
  <c r="AF166" i="42" s="1"/>
  <c r="AF167" i="42" s="1"/>
  <c r="AF168" i="42" s="1"/>
  <c r="AF169" i="42" s="1"/>
  <c r="AF170" i="42" s="1"/>
  <c r="AF171" i="42" s="1"/>
  <c r="AF172" i="42" s="1"/>
  <c r="AF173" i="42" s="1"/>
  <c r="AF174" i="42" s="1"/>
  <c r="AF175" i="42" s="1"/>
  <c r="AF176" i="42" s="1"/>
  <c r="AF177" i="42" s="1"/>
  <c r="AF178" i="42" s="1"/>
  <c r="AF179" i="42" s="1"/>
  <c r="AF180" i="42" s="1"/>
  <c r="AF181" i="42" s="1"/>
  <c r="AF182" i="42" s="1"/>
  <c r="AF183" i="42" s="1"/>
  <c r="AF184" i="42" s="1"/>
  <c r="AF185" i="42" s="1"/>
  <c r="AF186" i="42" s="1"/>
  <c r="AF187" i="42" s="1"/>
  <c r="AF188" i="42" s="1"/>
  <c r="AF189" i="42" s="1"/>
  <c r="AF190" i="42" s="1"/>
  <c r="AF191" i="42" s="1"/>
  <c r="AF192" i="42" s="1"/>
  <c r="AF193" i="42" s="1"/>
  <c r="AF194" i="42" s="1"/>
  <c r="AF195" i="42" s="1"/>
  <c r="AF196" i="42" s="1"/>
  <c r="AF197" i="42" s="1"/>
  <c r="AF198" i="42" s="1"/>
  <c r="AF199" i="42" s="1"/>
  <c r="AF200" i="42" s="1"/>
  <c r="AF201" i="42" s="1"/>
  <c r="AF202" i="42" s="1"/>
  <c r="AF203" i="42" s="1"/>
  <c r="AF204" i="42" s="1"/>
  <c r="AF205" i="42" s="1"/>
  <c r="AF206" i="42" s="1"/>
  <c r="AF207" i="42" s="1"/>
  <c r="AF208" i="42" s="1"/>
  <c r="AF209" i="42" s="1"/>
  <c r="AF210" i="42" s="1"/>
  <c r="AF211" i="42" s="1"/>
  <c r="AF212" i="42" s="1"/>
  <c r="AF213" i="42" s="1"/>
  <c r="AF214" i="42" s="1"/>
  <c r="AF215" i="42" s="1"/>
  <c r="AF216" i="42" s="1"/>
  <c r="AF217" i="42" s="1"/>
  <c r="AF218" i="42" s="1"/>
  <c r="AF219" i="42" s="1"/>
  <c r="AF220" i="42" s="1"/>
  <c r="AF221" i="42" s="1"/>
  <c r="AF222" i="42" s="1"/>
  <c r="AF223" i="42" s="1"/>
  <c r="AF224" i="42" s="1"/>
  <c r="AF225" i="42" s="1"/>
  <c r="AF226" i="42" s="1"/>
  <c r="AF227" i="42" s="1"/>
  <c r="AF228" i="42" s="1"/>
  <c r="AF229" i="42" s="1"/>
  <c r="AF230" i="42" s="1"/>
  <c r="AF231" i="42" s="1"/>
  <c r="AF232" i="42" s="1"/>
  <c r="AF233" i="42" s="1"/>
  <c r="AF234" i="42" s="1"/>
  <c r="AF235" i="42" s="1"/>
  <c r="AF236" i="42" s="1"/>
  <c r="AF237" i="42" s="1"/>
  <c r="AF238" i="42" s="1"/>
  <c r="AF239" i="42" s="1"/>
  <c r="AF240" i="42" s="1"/>
  <c r="AF241" i="42" s="1"/>
  <c r="AF242" i="42" s="1"/>
  <c r="AF243" i="42" s="1"/>
  <c r="AF244" i="42" s="1"/>
  <c r="AF245" i="42" s="1"/>
  <c r="AF246" i="42" s="1"/>
  <c r="AF247" i="42" s="1"/>
  <c r="AF248" i="42" s="1"/>
  <c r="AF249" i="42" s="1"/>
  <c r="AF250" i="42" s="1"/>
  <c r="AF251" i="42" s="1"/>
  <c r="AF252" i="42" s="1"/>
  <c r="AF253" i="42" s="1"/>
  <c r="AF254" i="42" s="1"/>
  <c r="AF255" i="42" s="1"/>
  <c r="AF256" i="42" s="1"/>
  <c r="AF257" i="42" s="1"/>
  <c r="AF258" i="42" s="1"/>
  <c r="AF259" i="42" s="1"/>
  <c r="AF260" i="42" s="1"/>
  <c r="AF261" i="42" s="1"/>
  <c r="AF262" i="42" s="1"/>
  <c r="AF263" i="42" s="1"/>
  <c r="AF264" i="42" s="1"/>
  <c r="AF265" i="42" s="1"/>
  <c r="AF266" i="42" s="1"/>
  <c r="AF267" i="42" s="1"/>
  <c r="AF268" i="42" s="1"/>
  <c r="AF269" i="42" s="1"/>
  <c r="AF270" i="42" s="1"/>
  <c r="AF271" i="42" s="1"/>
  <c r="AF272" i="42" s="1"/>
  <c r="AF273" i="42" s="1"/>
  <c r="AF274" i="42" s="1"/>
  <c r="AF275" i="42" s="1"/>
  <c r="AF276" i="42" s="1"/>
  <c r="AF277" i="42" s="1"/>
  <c r="AF278" i="42" s="1"/>
  <c r="AF279" i="42" s="1"/>
  <c r="AF280" i="42" s="1"/>
  <c r="AF281" i="42" s="1"/>
  <c r="AF282" i="42" s="1"/>
  <c r="AF283" i="42" s="1"/>
  <c r="AF284" i="42" s="1"/>
  <c r="AF285" i="42" s="1"/>
  <c r="AF286" i="42" s="1"/>
  <c r="AF287" i="42" s="1"/>
  <c r="AF288" i="42" s="1"/>
  <c r="AF289" i="42" s="1"/>
  <c r="AF290" i="42" s="1"/>
  <c r="AF291" i="42" s="1"/>
  <c r="AF292" i="42" s="1"/>
  <c r="AF293" i="42" s="1"/>
  <c r="AF294" i="42" s="1"/>
  <c r="AF295" i="42" s="1"/>
  <c r="AF296" i="42" s="1"/>
  <c r="AF297" i="42" s="1"/>
  <c r="AF298" i="42" s="1"/>
  <c r="AF299" i="42" s="1"/>
  <c r="AF300" i="42" s="1"/>
  <c r="AF301" i="42" s="1"/>
  <c r="AF302" i="42" s="1"/>
  <c r="AF303" i="42" s="1"/>
  <c r="AF304" i="42" s="1"/>
  <c r="AF305" i="42" s="1"/>
  <c r="AF306" i="42" s="1"/>
  <c r="AF307" i="42" s="1"/>
  <c r="AF308" i="42" s="1"/>
  <c r="AF309" i="42" s="1"/>
  <c r="AF310" i="42" s="1"/>
  <c r="AF311" i="42" s="1"/>
  <c r="AF312" i="42" s="1"/>
  <c r="AF313" i="42" s="1"/>
  <c r="AF314" i="42" s="1"/>
  <c r="AF315" i="42" s="1"/>
  <c r="AF316" i="42" s="1"/>
  <c r="AF317" i="42" s="1"/>
  <c r="AF318" i="42" s="1"/>
  <c r="AF319" i="42" s="1"/>
  <c r="AF320" i="42" s="1"/>
  <c r="AF321" i="42" s="1"/>
  <c r="AF322" i="42" s="1"/>
  <c r="AF323" i="42" s="1"/>
  <c r="AF324" i="42" s="1"/>
  <c r="AF325" i="42" s="1"/>
  <c r="AF326" i="42" s="1"/>
  <c r="AF327" i="42" s="1"/>
  <c r="AF328" i="42" s="1"/>
  <c r="AF329" i="42" s="1"/>
  <c r="AF330" i="42" s="1"/>
  <c r="AF331" i="42" s="1"/>
  <c r="AF332" i="42" s="1"/>
  <c r="AF333" i="42" s="1"/>
  <c r="AF334" i="42" s="1"/>
  <c r="AF335" i="42" s="1"/>
  <c r="AF336" i="42" s="1"/>
  <c r="AF337" i="42" s="1"/>
  <c r="AF338" i="42" s="1"/>
  <c r="AF339" i="42" s="1"/>
  <c r="AF340" i="42" s="1"/>
  <c r="AF341" i="42" s="1"/>
  <c r="AF342" i="42" s="1"/>
  <c r="AF343" i="42" s="1"/>
  <c r="AF344" i="42" s="1"/>
  <c r="AF345" i="42" s="1"/>
  <c r="AF346" i="42" s="1"/>
  <c r="AF347" i="42" s="1"/>
  <c r="AF348" i="42" s="1"/>
  <c r="AF349" i="42" s="1"/>
  <c r="AF350" i="42" s="1"/>
  <c r="AF351" i="42" s="1"/>
  <c r="AF352" i="42" s="1"/>
  <c r="AF353" i="42" s="1"/>
  <c r="AF354" i="42" s="1"/>
  <c r="AF355" i="42" s="1"/>
  <c r="AF356" i="42" s="1"/>
  <c r="AF357" i="42" s="1"/>
  <c r="AF358" i="42" s="1"/>
  <c r="AF359" i="42" s="1"/>
  <c r="AF360" i="42" s="1"/>
  <c r="AF361" i="42" s="1"/>
  <c r="AF362" i="42" s="1"/>
  <c r="AF363" i="42" s="1"/>
  <c r="AF364" i="42" s="1"/>
  <c r="AF365" i="42" s="1"/>
  <c r="AF366" i="42" s="1"/>
  <c r="AF367" i="42" s="1"/>
  <c r="AF368" i="42" s="1"/>
  <c r="AF369" i="42" s="1"/>
  <c r="AF370" i="42" s="1"/>
  <c r="AF371" i="42" s="1"/>
  <c r="AF372" i="42" s="1"/>
  <c r="AF373" i="42" s="1"/>
  <c r="AF374" i="42" s="1"/>
  <c r="AF375" i="42" s="1"/>
  <c r="AF376" i="42" s="1"/>
  <c r="AF377" i="42" s="1"/>
  <c r="AF378" i="42" s="1"/>
  <c r="AF379" i="42" s="1"/>
  <c r="AF380" i="42" s="1"/>
  <c r="AF381" i="42" s="1"/>
  <c r="AF382" i="42" s="1"/>
  <c r="AF383" i="42" s="1"/>
  <c r="AF384" i="42" s="1"/>
  <c r="AF385" i="42" s="1"/>
  <c r="AF386" i="42" s="1"/>
  <c r="AF387" i="42" s="1"/>
  <c r="AF388" i="42" s="1"/>
  <c r="AF389" i="42" s="1"/>
  <c r="AF390" i="42" s="1"/>
  <c r="AF391" i="42" s="1"/>
  <c r="AF392" i="42" s="1"/>
  <c r="AF393" i="42" s="1"/>
  <c r="AF394" i="42" s="1"/>
  <c r="AF395" i="42" s="1"/>
  <c r="AF396" i="42" s="1"/>
  <c r="AF397" i="42" s="1"/>
  <c r="AF398" i="42" s="1"/>
  <c r="AF399" i="42" s="1"/>
  <c r="AF400" i="42" s="1"/>
  <c r="AF401" i="42" s="1"/>
  <c r="AF402" i="42" s="1"/>
  <c r="AF403" i="42" s="1"/>
  <c r="AF404" i="42" s="1"/>
  <c r="AF405" i="42" s="1"/>
  <c r="AF406" i="42" s="1"/>
  <c r="AF407" i="42" s="1"/>
  <c r="AF408" i="42" s="1"/>
  <c r="AF409" i="42" s="1"/>
  <c r="AF410" i="42" s="1"/>
  <c r="AF411" i="42" s="1"/>
  <c r="AF412" i="42" s="1"/>
  <c r="AF413" i="42" s="1"/>
  <c r="AF414" i="42" s="1"/>
  <c r="AF415" i="42" s="1"/>
  <c r="AF416" i="42" s="1"/>
  <c r="AF417" i="42" s="1"/>
  <c r="AF418" i="42" s="1"/>
  <c r="AF419" i="42" s="1"/>
  <c r="AF420" i="42" s="1"/>
  <c r="AF421" i="42" s="1"/>
  <c r="AF422" i="42" s="1"/>
  <c r="AF423" i="42" s="1"/>
  <c r="AF424" i="42" s="1"/>
  <c r="AF425" i="42" s="1"/>
  <c r="AF426" i="42" s="1"/>
  <c r="AF427" i="42" s="1"/>
  <c r="AF428" i="42" s="1"/>
  <c r="AF429" i="42" s="1"/>
  <c r="AF430" i="42" s="1"/>
  <c r="AF431" i="42" s="1"/>
  <c r="AF432" i="42" s="1"/>
  <c r="AF433" i="42" s="1"/>
  <c r="AF434" i="42" s="1"/>
  <c r="AF435" i="42" s="1"/>
  <c r="AF436" i="42" s="1"/>
  <c r="AF437" i="42" s="1"/>
  <c r="AF438" i="42" s="1"/>
  <c r="AF439" i="42" s="1"/>
  <c r="AF440" i="42" s="1"/>
  <c r="AF441" i="42" s="1"/>
  <c r="AF442" i="42" s="1"/>
  <c r="AF443" i="42" s="1"/>
  <c r="AF444" i="42" s="1"/>
  <c r="AF445" i="42" s="1"/>
  <c r="AF446" i="42" s="1"/>
  <c r="AF447" i="42" s="1"/>
  <c r="AF448" i="42" s="1"/>
  <c r="AF449" i="42" s="1"/>
  <c r="AF450" i="42" s="1"/>
  <c r="AF451" i="42" s="1"/>
  <c r="AF452" i="42" s="1"/>
  <c r="AF453" i="42" s="1"/>
  <c r="AF454" i="42" s="1"/>
  <c r="AF455" i="42" s="1"/>
  <c r="AF456" i="42" s="1"/>
  <c r="AF457" i="42" s="1"/>
  <c r="AF458" i="42" s="1"/>
  <c r="AF459" i="42" s="1"/>
  <c r="AF460" i="42" s="1"/>
  <c r="AF461" i="42" s="1"/>
  <c r="AF462" i="42" s="1"/>
  <c r="AF463" i="42" s="1"/>
  <c r="AF464" i="42" s="1"/>
  <c r="AF465" i="42" s="1"/>
  <c r="AF466" i="42" s="1"/>
  <c r="AF467" i="42" s="1"/>
  <c r="AF468" i="42" s="1"/>
  <c r="AF469" i="42" s="1"/>
  <c r="AF470" i="42" s="1"/>
  <c r="AF471" i="42" s="1"/>
  <c r="AF472" i="42" s="1"/>
  <c r="AF473" i="42" s="1"/>
  <c r="AF474" i="42" s="1"/>
  <c r="AF475" i="42" s="1"/>
  <c r="AF476" i="42" s="1"/>
  <c r="AF477" i="42" s="1"/>
  <c r="AF478" i="42" s="1"/>
  <c r="AF479" i="42" s="1"/>
  <c r="AF480" i="42" s="1"/>
  <c r="AF481" i="42" s="1"/>
  <c r="AF482" i="42" s="1"/>
  <c r="AF483" i="42" s="1"/>
  <c r="AF484" i="42" s="1"/>
  <c r="AF485" i="42" s="1"/>
  <c r="AF486" i="42" s="1"/>
  <c r="AF487" i="42" s="1"/>
  <c r="AF488" i="42" s="1"/>
  <c r="AF489" i="42" s="1"/>
  <c r="AF490" i="42" s="1"/>
  <c r="AF491" i="42" s="1"/>
  <c r="AF492" i="42" s="1"/>
  <c r="AF493" i="42" s="1"/>
  <c r="AF494" i="42" s="1"/>
  <c r="AF495" i="42" s="1"/>
  <c r="AF496" i="42" s="1"/>
  <c r="AF497" i="42" s="1"/>
  <c r="AF498" i="42" s="1"/>
  <c r="AF499" i="42" s="1"/>
  <c r="AF500" i="42" s="1"/>
  <c r="AF501" i="42" s="1"/>
  <c r="AF502" i="42" s="1"/>
  <c r="AF503" i="42" s="1"/>
  <c r="AF504" i="42" s="1"/>
  <c r="AF505" i="42" s="1"/>
  <c r="AF506" i="42" s="1"/>
  <c r="AF507" i="42" s="1"/>
  <c r="AF508" i="42" s="1"/>
  <c r="AF509" i="42" s="1"/>
  <c r="AF510" i="42" s="1"/>
  <c r="AF511" i="42" s="1"/>
  <c r="AF512" i="42" s="1"/>
  <c r="AF513" i="42" s="1"/>
  <c r="AF514" i="42" s="1"/>
  <c r="AF515" i="42" s="1"/>
  <c r="AF516" i="42" s="1"/>
  <c r="AF517" i="42" s="1"/>
  <c r="AF518" i="42" s="1"/>
  <c r="AF519" i="42" s="1"/>
  <c r="AF520" i="42" s="1"/>
  <c r="AF521" i="42" s="1"/>
  <c r="AF522" i="42" s="1"/>
  <c r="AF523" i="42" s="1"/>
  <c r="AF524" i="42" s="1"/>
  <c r="AF525" i="42" s="1"/>
  <c r="AF526" i="42" s="1"/>
  <c r="AF527" i="42" s="1"/>
  <c r="AF528" i="42" s="1"/>
  <c r="AF529" i="42" s="1"/>
  <c r="AF530" i="42" s="1"/>
  <c r="AF531" i="42" s="1"/>
  <c r="AF532" i="42" s="1"/>
  <c r="AF533" i="42" s="1"/>
  <c r="AF534" i="42" s="1"/>
  <c r="AF535" i="42" s="1"/>
  <c r="AF536" i="42" s="1"/>
  <c r="AF537" i="42" s="1"/>
  <c r="AF538" i="42" s="1"/>
  <c r="AF539" i="42" s="1"/>
  <c r="AF540" i="42" s="1"/>
  <c r="AF541" i="42" s="1"/>
  <c r="AF542" i="42" s="1"/>
  <c r="AF543" i="42" s="1"/>
  <c r="AF544" i="42" s="1"/>
  <c r="AF545" i="42" s="1"/>
  <c r="AF546" i="42" s="1"/>
  <c r="AF547" i="42" s="1"/>
  <c r="AF548" i="42" s="1"/>
  <c r="AF549" i="42" s="1"/>
  <c r="AF550" i="42" s="1"/>
  <c r="AF551" i="42" s="1"/>
  <c r="AF552" i="42" s="1"/>
  <c r="AF553" i="42" s="1"/>
  <c r="AF554" i="42" s="1"/>
  <c r="AF555" i="42" s="1"/>
  <c r="AF556" i="42" s="1"/>
  <c r="AF557" i="42" s="1"/>
  <c r="AF558" i="42" s="1"/>
  <c r="AF559" i="42" s="1"/>
  <c r="AF560" i="42" s="1"/>
  <c r="AF561" i="42" s="1"/>
  <c r="AF562" i="42" s="1"/>
  <c r="AF563" i="42" s="1"/>
  <c r="AF564" i="42" s="1"/>
  <c r="AF565" i="42" s="1"/>
  <c r="AF566" i="42" s="1"/>
  <c r="AF567" i="42" s="1"/>
  <c r="AF568" i="42" s="1"/>
  <c r="AF569" i="42" s="1"/>
  <c r="AF570" i="42" s="1"/>
  <c r="AF571" i="42" s="1"/>
  <c r="AF572" i="42" s="1"/>
  <c r="AF573" i="42" s="1"/>
  <c r="AF574" i="42" s="1"/>
  <c r="AF575" i="42" s="1"/>
  <c r="AF576" i="42" s="1"/>
  <c r="AF577" i="42" s="1"/>
  <c r="AF578" i="42" s="1"/>
  <c r="AF579" i="42" s="1"/>
  <c r="AF580" i="42" s="1"/>
  <c r="AF581" i="42" s="1"/>
  <c r="AF582" i="42" s="1"/>
  <c r="AF583" i="42" s="1"/>
  <c r="AF584" i="42" s="1"/>
  <c r="AF585" i="42" s="1"/>
  <c r="AF586" i="42" s="1"/>
  <c r="AF587" i="42" s="1"/>
  <c r="AF588" i="42" s="1"/>
  <c r="AF589" i="42" s="1"/>
  <c r="AF590" i="42" s="1"/>
  <c r="AF591" i="42" s="1"/>
  <c r="AF592" i="42" s="1"/>
  <c r="AF593" i="42" s="1"/>
  <c r="AF594" i="42" s="1"/>
  <c r="AF595" i="42" s="1"/>
  <c r="AF596" i="42" s="1"/>
  <c r="AF597" i="42" s="1"/>
  <c r="AF598" i="42" s="1"/>
  <c r="AF599" i="42" s="1"/>
  <c r="AF600" i="42" s="1"/>
  <c r="AF601" i="42" s="1"/>
  <c r="AF602" i="42" s="1"/>
  <c r="AF603" i="42" s="1"/>
  <c r="AF604" i="42" s="1"/>
  <c r="AF605" i="42" s="1"/>
  <c r="AF606" i="42" s="1"/>
  <c r="AF607" i="42" s="1"/>
  <c r="AF608" i="42" s="1"/>
  <c r="AF609" i="42" s="1"/>
  <c r="AF610" i="42" s="1"/>
  <c r="AF611" i="42" s="1"/>
  <c r="AF612" i="42" s="1"/>
  <c r="AF613" i="42" s="1"/>
  <c r="AF614" i="42" s="1"/>
  <c r="AF615" i="42" s="1"/>
  <c r="AF616" i="42" s="1"/>
  <c r="AF617" i="42" s="1"/>
  <c r="AF618" i="42" s="1"/>
  <c r="AF619" i="42" s="1"/>
  <c r="AF620" i="42" s="1"/>
  <c r="AF621" i="42" s="1"/>
  <c r="AF622" i="42" s="1"/>
  <c r="AF623" i="42" s="1"/>
  <c r="AF624" i="42" s="1"/>
  <c r="AF625" i="42" s="1"/>
  <c r="AF626" i="42" s="1"/>
  <c r="AF627" i="42" s="1"/>
  <c r="AF628" i="42" s="1"/>
  <c r="AF629" i="42" s="1"/>
  <c r="AF630" i="42" s="1"/>
  <c r="AF631" i="42" s="1"/>
  <c r="AF632" i="42" s="1"/>
  <c r="AF633" i="42" s="1"/>
  <c r="AF634" i="42" s="1"/>
  <c r="AF635" i="42" s="1"/>
  <c r="AF636" i="42" s="1"/>
  <c r="AF637" i="42" s="1"/>
  <c r="AF638" i="42" s="1"/>
  <c r="AF639" i="42" s="1"/>
  <c r="AF640" i="42" s="1"/>
  <c r="AF641" i="42" s="1"/>
  <c r="AF642" i="42" s="1"/>
  <c r="AF643" i="42" s="1"/>
  <c r="AF644" i="42" s="1"/>
  <c r="AF645" i="42" s="1"/>
  <c r="AF646" i="42" s="1"/>
  <c r="AF647" i="42" s="1"/>
  <c r="AF648" i="42" s="1"/>
  <c r="AF649" i="42" s="1"/>
  <c r="AF650" i="42" s="1"/>
  <c r="AF651" i="42" s="1"/>
  <c r="AF652" i="42" s="1"/>
  <c r="AF653" i="42" s="1"/>
  <c r="AF654" i="42" s="1"/>
  <c r="AF655" i="42" s="1"/>
  <c r="AF656" i="42" s="1"/>
  <c r="AF657" i="42" s="1"/>
  <c r="AF658" i="42" s="1"/>
  <c r="AF659" i="42" s="1"/>
  <c r="AF660" i="42" s="1"/>
  <c r="AF661" i="42" s="1"/>
  <c r="AF662" i="42" s="1"/>
  <c r="AF663" i="42" s="1"/>
  <c r="AF664" i="42" s="1"/>
  <c r="AF665" i="42" s="1"/>
  <c r="AF666" i="42" s="1"/>
  <c r="AF667" i="42" s="1"/>
  <c r="AF668" i="42" s="1"/>
  <c r="AF669" i="42" s="1"/>
  <c r="AF670" i="42" s="1"/>
  <c r="AF671" i="42" s="1"/>
  <c r="AF672" i="42" s="1"/>
  <c r="AF673" i="42" s="1"/>
  <c r="AF674" i="42" s="1"/>
  <c r="AF675" i="42" s="1"/>
  <c r="AF676" i="42" s="1"/>
  <c r="AF677" i="42" s="1"/>
  <c r="AF678" i="42" s="1"/>
  <c r="AF679" i="42" s="1"/>
  <c r="AF680" i="42" s="1"/>
  <c r="AF681" i="42" s="1"/>
  <c r="AF682" i="42" s="1"/>
  <c r="AF683" i="42" s="1"/>
  <c r="AF684" i="42" s="1"/>
  <c r="AF685" i="42" s="1"/>
  <c r="AF686" i="42" s="1"/>
  <c r="AF687" i="42" s="1"/>
  <c r="AF688" i="42" s="1"/>
  <c r="AF689" i="42" s="1"/>
  <c r="AF690" i="42" s="1"/>
  <c r="AF691" i="42" s="1"/>
  <c r="AF692" i="42" s="1"/>
  <c r="AF693" i="42" s="1"/>
  <c r="AF694" i="42" s="1"/>
  <c r="AF695" i="42" s="1"/>
  <c r="AF696" i="42" s="1"/>
  <c r="AF697" i="42" s="1"/>
  <c r="AF698" i="42" s="1"/>
  <c r="AF699" i="42" s="1"/>
  <c r="AF700" i="42" s="1"/>
  <c r="AF701" i="42" s="1"/>
  <c r="AF702" i="42" s="1"/>
  <c r="AF703" i="42" s="1"/>
  <c r="AF704" i="42" s="1"/>
  <c r="AF705" i="42" s="1"/>
  <c r="AF706" i="42" s="1"/>
  <c r="AF707" i="42" s="1"/>
  <c r="AF708" i="42" s="1"/>
  <c r="AF709" i="42" s="1"/>
  <c r="AF710" i="42" s="1"/>
  <c r="AF711" i="42" s="1"/>
  <c r="AF712" i="42" s="1"/>
  <c r="AF713" i="42" s="1"/>
  <c r="AF714" i="42" s="1"/>
  <c r="AF715" i="42" s="1"/>
  <c r="AF716" i="42" s="1"/>
  <c r="AF717" i="42" s="1"/>
  <c r="AF718" i="42" s="1"/>
  <c r="AF719" i="42" s="1"/>
  <c r="AF720" i="42" s="1"/>
  <c r="AF721" i="42" s="1"/>
  <c r="AF722" i="42" s="1"/>
  <c r="AF723" i="42" s="1"/>
  <c r="AF724" i="42" s="1"/>
  <c r="AF725" i="42" s="1"/>
  <c r="AF726" i="42" s="1"/>
  <c r="AF727" i="42" s="1"/>
  <c r="AF728" i="42" s="1"/>
  <c r="AF729" i="42" s="1"/>
  <c r="AF730" i="42" s="1"/>
  <c r="AF731" i="42" s="1"/>
  <c r="AF732" i="42" s="1"/>
  <c r="AF733" i="42" s="1"/>
  <c r="AF734" i="42" s="1"/>
  <c r="AF735" i="42" s="1"/>
  <c r="AF736" i="42" s="1"/>
  <c r="AF737" i="42" s="1"/>
  <c r="AF738" i="42" s="1"/>
  <c r="AF739" i="42" s="1"/>
  <c r="AF740" i="42" s="1"/>
  <c r="AF741" i="42" s="1"/>
  <c r="AF742" i="42" s="1"/>
  <c r="AF743" i="42" s="1"/>
  <c r="AF744" i="42" s="1"/>
  <c r="AF745" i="42" s="1"/>
  <c r="AF746" i="42" s="1"/>
  <c r="AF747" i="42" s="1"/>
  <c r="AF748" i="42" s="1"/>
  <c r="AF749" i="42" s="1"/>
  <c r="AF750" i="42" s="1"/>
  <c r="AF751" i="42" s="1"/>
  <c r="AF752" i="42" s="1"/>
  <c r="AF753" i="42" s="1"/>
  <c r="AF754" i="42" s="1"/>
  <c r="AF755" i="42" s="1"/>
  <c r="AF756" i="42" s="1"/>
  <c r="AF757" i="42" s="1"/>
  <c r="AF758" i="42" s="1"/>
  <c r="AF759" i="42" s="1"/>
  <c r="AF760" i="42" s="1"/>
  <c r="AF761" i="42" s="1"/>
  <c r="AF762" i="42" s="1"/>
  <c r="AF763" i="42" s="1"/>
  <c r="AF764" i="42" s="1"/>
  <c r="AF765" i="42" s="1"/>
  <c r="AF766" i="42" s="1"/>
  <c r="AF767" i="42" s="1"/>
  <c r="AF768" i="42" s="1"/>
  <c r="AF769" i="42" s="1"/>
  <c r="AF770" i="42" s="1"/>
  <c r="AF771" i="42" s="1"/>
  <c r="AF772" i="42" s="1"/>
  <c r="AF773" i="42" s="1"/>
  <c r="AF774" i="42" s="1"/>
  <c r="AF775" i="42" s="1"/>
  <c r="AF776" i="42" s="1"/>
  <c r="AF777" i="42" s="1"/>
  <c r="AF778" i="42" s="1"/>
  <c r="AF779" i="42" s="1"/>
  <c r="AF780" i="42" s="1"/>
  <c r="AF781" i="42" s="1"/>
  <c r="AF782" i="42" s="1"/>
  <c r="AF783" i="42" s="1"/>
  <c r="AF784" i="42" s="1"/>
  <c r="AF785" i="42" s="1"/>
  <c r="AF786" i="42" s="1"/>
  <c r="AF787" i="42" s="1"/>
  <c r="AF788" i="42" s="1"/>
  <c r="AF789" i="42" s="1"/>
  <c r="AF790" i="42" s="1"/>
  <c r="AF791" i="42" s="1"/>
  <c r="AF792" i="42" s="1"/>
  <c r="AF793" i="42" s="1"/>
  <c r="AF794" i="42" s="1"/>
  <c r="AF795" i="42" s="1"/>
  <c r="AF796" i="42" s="1"/>
  <c r="AF797" i="42" s="1"/>
  <c r="AF798" i="42" s="1"/>
  <c r="AF799" i="42" s="1"/>
  <c r="AF800" i="42" s="1"/>
  <c r="AF801" i="42" s="1"/>
  <c r="AF802" i="42" s="1"/>
  <c r="AF803" i="42" s="1"/>
  <c r="AF804" i="42" s="1"/>
  <c r="AF805" i="42" s="1"/>
  <c r="AF806" i="42" s="1"/>
  <c r="AF807" i="42" s="1"/>
  <c r="AF808" i="42" s="1"/>
  <c r="AF809" i="42" s="1"/>
  <c r="AF810" i="42" s="1"/>
  <c r="AF811" i="42" s="1"/>
  <c r="AF812" i="42" s="1"/>
  <c r="AF813" i="42" s="1"/>
  <c r="AF814" i="42" s="1"/>
  <c r="AF815" i="42" s="1"/>
  <c r="AF816" i="42" s="1"/>
  <c r="AF817" i="42" s="1"/>
  <c r="AF818" i="42" s="1"/>
  <c r="AF819" i="42" s="1"/>
  <c r="AF820" i="42" s="1"/>
  <c r="AF821" i="42" s="1"/>
  <c r="AF822" i="42" s="1"/>
  <c r="AF823" i="42" s="1"/>
  <c r="AF824" i="42" s="1"/>
  <c r="AF825" i="42" s="1"/>
  <c r="AF826" i="42" s="1"/>
  <c r="AF827" i="42" s="1"/>
  <c r="AF828" i="42" s="1"/>
  <c r="AF829" i="42" s="1"/>
  <c r="AF830" i="42" s="1"/>
  <c r="AF831" i="42" s="1"/>
  <c r="AF832" i="42" s="1"/>
  <c r="AF833" i="42" s="1"/>
  <c r="AF834" i="42" s="1"/>
  <c r="AF835" i="42" s="1"/>
  <c r="AF836" i="42" s="1"/>
  <c r="AF837" i="42" s="1"/>
  <c r="AF838" i="42" s="1"/>
  <c r="AF839" i="42" s="1"/>
  <c r="AF840" i="42" s="1"/>
  <c r="AF841" i="42" s="1"/>
  <c r="AF842" i="42" s="1"/>
  <c r="AF843" i="42" s="1"/>
  <c r="AF844" i="42" s="1"/>
  <c r="AF845" i="42" s="1"/>
  <c r="AF846" i="42" s="1"/>
  <c r="AF847" i="42" s="1"/>
  <c r="AF848" i="42" s="1"/>
  <c r="AF849" i="42" s="1"/>
  <c r="AF850" i="42" s="1"/>
  <c r="AF851" i="42" s="1"/>
  <c r="AF852" i="42" s="1"/>
  <c r="AF853" i="42" s="1"/>
  <c r="AF854" i="42" s="1"/>
  <c r="AF855" i="42" s="1"/>
  <c r="AF856" i="42" s="1"/>
  <c r="AF857" i="42" s="1"/>
  <c r="AF858" i="42" s="1"/>
  <c r="AF859" i="42" s="1"/>
  <c r="AF860" i="42" s="1"/>
  <c r="AF861" i="42" s="1"/>
  <c r="AF862" i="42" s="1"/>
  <c r="AF863" i="42" s="1"/>
  <c r="AF864" i="42" s="1"/>
  <c r="AF865" i="42" s="1"/>
  <c r="AF866" i="42" s="1"/>
  <c r="AF867" i="42" s="1"/>
  <c r="AF868" i="42" s="1"/>
  <c r="AF869" i="42" s="1"/>
  <c r="AF870" i="42" s="1"/>
  <c r="AF871" i="42" s="1"/>
  <c r="AF872" i="42" s="1"/>
  <c r="AF873" i="42" s="1"/>
  <c r="AF874" i="42" s="1"/>
  <c r="AF875" i="42" s="1"/>
  <c r="AF876" i="42" s="1"/>
  <c r="AF877" i="42" s="1"/>
  <c r="AF878" i="42" s="1"/>
  <c r="AF879" i="42" s="1"/>
  <c r="AF880" i="42" s="1"/>
  <c r="AF881" i="42" s="1"/>
  <c r="AF882" i="42" s="1"/>
  <c r="AF883" i="42" s="1"/>
  <c r="AF884" i="42" s="1"/>
  <c r="AF885" i="42" s="1"/>
  <c r="AF886" i="42" s="1"/>
  <c r="AF887" i="42" s="1"/>
  <c r="AF888" i="42" s="1"/>
  <c r="AF889" i="42" s="1"/>
  <c r="AF890" i="42" s="1"/>
  <c r="AF891" i="42" s="1"/>
  <c r="AF892" i="42" s="1"/>
  <c r="AF893" i="42" s="1"/>
  <c r="AF894" i="42" s="1"/>
  <c r="AF895" i="42" s="1"/>
  <c r="AF896" i="42" s="1"/>
  <c r="AF897" i="42" s="1"/>
  <c r="AF898" i="42" s="1"/>
  <c r="AF899" i="42" s="1"/>
  <c r="AF900" i="42" s="1"/>
  <c r="AF901" i="42" s="1"/>
  <c r="AF902" i="42" s="1"/>
  <c r="AF903" i="42" s="1"/>
  <c r="AF904" i="42" s="1"/>
  <c r="AF905" i="42" s="1"/>
  <c r="AF906" i="42" s="1"/>
  <c r="AF907" i="42" s="1"/>
  <c r="AF908" i="42" s="1"/>
  <c r="AF909" i="42" s="1"/>
  <c r="AF910" i="42" s="1"/>
  <c r="AF911" i="42" s="1"/>
  <c r="AF912" i="42" s="1"/>
  <c r="AF913" i="42" s="1"/>
  <c r="AF914" i="42" s="1"/>
  <c r="AF915" i="42" s="1"/>
  <c r="AF916" i="42" s="1"/>
  <c r="AF917" i="42" s="1"/>
  <c r="AF918" i="42" s="1"/>
  <c r="AF919" i="42" s="1"/>
  <c r="AF920" i="42" s="1"/>
  <c r="AF921" i="42" s="1"/>
  <c r="AF922" i="42" s="1"/>
  <c r="AF923" i="42" s="1"/>
  <c r="AF924" i="42" s="1"/>
  <c r="AF925" i="42" s="1"/>
  <c r="AF926" i="42" s="1"/>
  <c r="AF927" i="42" s="1"/>
  <c r="AF928" i="42" s="1"/>
  <c r="AF929" i="42" s="1"/>
  <c r="AF930" i="42" s="1"/>
  <c r="AF931" i="42" s="1"/>
  <c r="AF932" i="42" s="1"/>
  <c r="AF933" i="42" s="1"/>
  <c r="AF934" i="42" s="1"/>
  <c r="AF935" i="42" s="1"/>
  <c r="AF936" i="42" s="1"/>
  <c r="AF937" i="42" s="1"/>
  <c r="AF938" i="42" s="1"/>
  <c r="AF939" i="42" s="1"/>
  <c r="AF940" i="42" s="1"/>
  <c r="AF941" i="42" s="1"/>
  <c r="AF942" i="42" s="1"/>
  <c r="AF943" i="42" s="1"/>
  <c r="AF944" i="42" s="1"/>
  <c r="AF945" i="42" s="1"/>
  <c r="AF946" i="42" s="1"/>
  <c r="AF947" i="42" s="1"/>
  <c r="AF948" i="42" s="1"/>
  <c r="AF949" i="42" s="1"/>
  <c r="AF950" i="42" s="1"/>
  <c r="AF951" i="42" s="1"/>
  <c r="AF952" i="42" s="1"/>
  <c r="AF953" i="42" s="1"/>
  <c r="AF954" i="42" s="1"/>
  <c r="AF955" i="42" s="1"/>
  <c r="AF956" i="42" s="1"/>
  <c r="AF957" i="42" s="1"/>
  <c r="AF958" i="42" s="1"/>
  <c r="AF959" i="42" s="1"/>
  <c r="AF960" i="42" s="1"/>
  <c r="AF961" i="42" s="1"/>
  <c r="AF962" i="42" s="1"/>
  <c r="AF963" i="42" s="1"/>
  <c r="AF964" i="42" s="1"/>
  <c r="AF965" i="42" s="1"/>
  <c r="AF966" i="42" s="1"/>
  <c r="AF967" i="42" s="1"/>
  <c r="AF968" i="42" s="1"/>
  <c r="AF969" i="42" s="1"/>
  <c r="AF970" i="42" s="1"/>
  <c r="AF971" i="42" s="1"/>
  <c r="AF972" i="42" s="1"/>
  <c r="AF973" i="42" s="1"/>
  <c r="AF974" i="42" s="1"/>
  <c r="AF975" i="42" s="1"/>
  <c r="AF976" i="42" s="1"/>
  <c r="AF977" i="42" s="1"/>
  <c r="AF978" i="42" s="1"/>
  <c r="AF979" i="42" s="1"/>
  <c r="AF980" i="42" s="1"/>
  <c r="AF981" i="42" s="1"/>
  <c r="AF982" i="42" s="1"/>
  <c r="AF983" i="42" s="1"/>
  <c r="AF984" i="42" s="1"/>
  <c r="AF985" i="42" s="1"/>
  <c r="AF986" i="42" s="1"/>
  <c r="AF987" i="42" s="1"/>
  <c r="AF988" i="42" s="1"/>
  <c r="AF989" i="42" s="1"/>
  <c r="AF990" i="42" s="1"/>
  <c r="AF991" i="42" s="1"/>
  <c r="AF992" i="42" s="1"/>
  <c r="AF993" i="42" s="1"/>
  <c r="AF994" i="42" s="1"/>
  <c r="AF995" i="42" s="1"/>
  <c r="AF996" i="42" s="1"/>
  <c r="AF997" i="42" s="1"/>
  <c r="AF998" i="42" s="1"/>
  <c r="AF999" i="42" s="1"/>
  <c r="AF1000" i="42" s="1"/>
  <c r="AF1001" i="42" s="1"/>
  <c r="AF1002" i="42" s="1"/>
  <c r="AF1003" i="42" s="1"/>
  <c r="AG4" i="42"/>
  <c r="AG5" i="42" s="1"/>
  <c r="AG6" i="42" s="1"/>
  <c r="AG7" i="42" s="1"/>
  <c r="AG8" i="42" s="1"/>
  <c r="AG9" i="42" s="1"/>
  <c r="AG10" i="42" s="1"/>
  <c r="AG11" i="42" s="1"/>
  <c r="AG12" i="42" s="1"/>
  <c r="AG13" i="42" s="1"/>
  <c r="AG14" i="42" s="1"/>
  <c r="AG15" i="42" s="1"/>
  <c r="AG16" i="42" s="1"/>
  <c r="AG17" i="42" s="1"/>
  <c r="AG18" i="42" s="1"/>
  <c r="AG19" i="42" s="1"/>
  <c r="AG20" i="42" s="1"/>
  <c r="AG21" i="42" s="1"/>
  <c r="AG22" i="42" s="1"/>
  <c r="AG23" i="42" s="1"/>
  <c r="AG24" i="42" s="1"/>
  <c r="AG25" i="42" s="1"/>
  <c r="AG26" i="42" s="1"/>
  <c r="AG27" i="42" s="1"/>
  <c r="AG28" i="42" s="1"/>
  <c r="AG29" i="42" s="1"/>
  <c r="AG30" i="42" s="1"/>
  <c r="AG31" i="42" s="1"/>
  <c r="AG32" i="42" s="1"/>
  <c r="AG33" i="42" s="1"/>
  <c r="AG34" i="42" s="1"/>
  <c r="AG35" i="42" s="1"/>
  <c r="AG36" i="42" s="1"/>
  <c r="AG37" i="42" s="1"/>
  <c r="AG38" i="42" s="1"/>
  <c r="AG39" i="42" s="1"/>
  <c r="AG40" i="42" s="1"/>
  <c r="AG41" i="42" s="1"/>
  <c r="AG42" i="42" s="1"/>
  <c r="AG43" i="42" s="1"/>
  <c r="AG44" i="42" s="1"/>
  <c r="AG45" i="42" s="1"/>
  <c r="AG46" i="42" s="1"/>
  <c r="AG47" i="42" s="1"/>
  <c r="AG48" i="42" s="1"/>
  <c r="AG49" i="42" s="1"/>
  <c r="AG50" i="42" s="1"/>
  <c r="AG51" i="42" s="1"/>
  <c r="AG52" i="42" s="1"/>
  <c r="AG53" i="42" s="1"/>
  <c r="AG54" i="42" s="1"/>
  <c r="AG55" i="42" s="1"/>
  <c r="AG56" i="42" s="1"/>
  <c r="AG57" i="42" s="1"/>
  <c r="AG58" i="42" s="1"/>
  <c r="AG59" i="42" s="1"/>
  <c r="AG60" i="42" s="1"/>
  <c r="AG61" i="42" s="1"/>
  <c r="AG62" i="42" s="1"/>
  <c r="AG63" i="42" s="1"/>
  <c r="AG64" i="42" s="1"/>
  <c r="AG65" i="42" s="1"/>
  <c r="AG66" i="42" s="1"/>
  <c r="AG67" i="42" s="1"/>
  <c r="AG68" i="42" s="1"/>
  <c r="AG69" i="42" s="1"/>
  <c r="AG70" i="42" s="1"/>
  <c r="AG71" i="42" s="1"/>
  <c r="AG72" i="42" s="1"/>
  <c r="AG73" i="42" s="1"/>
  <c r="AG74" i="42" s="1"/>
  <c r="AG75" i="42" s="1"/>
  <c r="AG76" i="42" s="1"/>
  <c r="AG77" i="42" s="1"/>
  <c r="AG78" i="42" s="1"/>
  <c r="AG79" i="42" s="1"/>
  <c r="AG80" i="42" s="1"/>
  <c r="AG81" i="42" s="1"/>
  <c r="AG82" i="42" s="1"/>
  <c r="AG83" i="42" s="1"/>
  <c r="AG84" i="42" s="1"/>
  <c r="AG85" i="42" s="1"/>
  <c r="AG86" i="42" s="1"/>
  <c r="AG87" i="42" s="1"/>
  <c r="AG88" i="42" s="1"/>
  <c r="AG89" i="42" s="1"/>
  <c r="AG90" i="42" s="1"/>
  <c r="AG91" i="42" s="1"/>
  <c r="AG92" i="42" s="1"/>
  <c r="AG93" i="42" s="1"/>
  <c r="AG94" i="42" s="1"/>
  <c r="AG95" i="42" s="1"/>
  <c r="AG96" i="42" s="1"/>
  <c r="AG97" i="42" s="1"/>
  <c r="AG98" i="42" s="1"/>
  <c r="AG99" i="42" s="1"/>
  <c r="AG100" i="42" s="1"/>
  <c r="AG101" i="42" s="1"/>
  <c r="AG102" i="42" s="1"/>
  <c r="AG103" i="42" s="1"/>
  <c r="AG104" i="42" s="1"/>
  <c r="AG105" i="42" s="1"/>
  <c r="AG106" i="42" s="1"/>
  <c r="AG107" i="42" s="1"/>
  <c r="AG108" i="42" s="1"/>
  <c r="AG109" i="42" s="1"/>
  <c r="AG110" i="42" s="1"/>
  <c r="AG111" i="42" s="1"/>
  <c r="AG112" i="42" s="1"/>
  <c r="AG113" i="42" s="1"/>
  <c r="AG114" i="42" s="1"/>
  <c r="AG115" i="42" s="1"/>
  <c r="AG116" i="42" s="1"/>
  <c r="AG117" i="42" s="1"/>
  <c r="AG118" i="42" s="1"/>
  <c r="AG119" i="42" s="1"/>
  <c r="AG120" i="42" s="1"/>
  <c r="AG121" i="42" s="1"/>
  <c r="AG122" i="42" s="1"/>
  <c r="AG123" i="42" s="1"/>
  <c r="AG124" i="42" s="1"/>
  <c r="AG125" i="42" s="1"/>
  <c r="AG126" i="42" s="1"/>
  <c r="AG127" i="42" s="1"/>
  <c r="AG128" i="42" s="1"/>
  <c r="AG129" i="42" s="1"/>
  <c r="AG130" i="42" s="1"/>
  <c r="AG131" i="42" s="1"/>
  <c r="AG132" i="42" s="1"/>
  <c r="AG133" i="42" s="1"/>
  <c r="AG134" i="42" s="1"/>
  <c r="AG135" i="42" s="1"/>
  <c r="AG136" i="42" s="1"/>
  <c r="AG137" i="42" s="1"/>
  <c r="AG138" i="42" s="1"/>
  <c r="AG139" i="42" s="1"/>
  <c r="AG140" i="42" s="1"/>
  <c r="AG141" i="42" s="1"/>
  <c r="AG142" i="42" s="1"/>
  <c r="AG143" i="42" s="1"/>
  <c r="AG144" i="42" s="1"/>
  <c r="AG145" i="42" s="1"/>
  <c r="AG146" i="42" s="1"/>
  <c r="AG147" i="42" s="1"/>
  <c r="AG148" i="42" s="1"/>
  <c r="AG149" i="42" s="1"/>
  <c r="AG150" i="42" s="1"/>
  <c r="AG151" i="42" s="1"/>
  <c r="AG152" i="42" s="1"/>
  <c r="AG153" i="42" s="1"/>
  <c r="AG154" i="42" s="1"/>
  <c r="AG155" i="42" s="1"/>
  <c r="AG156" i="42" s="1"/>
  <c r="AG157" i="42" s="1"/>
  <c r="AG158" i="42" s="1"/>
  <c r="AG159" i="42" s="1"/>
  <c r="AG160" i="42" s="1"/>
  <c r="AG161" i="42" s="1"/>
  <c r="AG162" i="42" s="1"/>
  <c r="AG163" i="42" s="1"/>
  <c r="AG164" i="42" s="1"/>
  <c r="AG165" i="42" s="1"/>
  <c r="AG166" i="42" s="1"/>
  <c r="AG167" i="42" s="1"/>
  <c r="AG168" i="42" s="1"/>
  <c r="AG169" i="42" s="1"/>
  <c r="AG170" i="42" s="1"/>
  <c r="AG171" i="42" s="1"/>
  <c r="AG172" i="42" s="1"/>
  <c r="AG173" i="42" s="1"/>
  <c r="AG174" i="42" s="1"/>
  <c r="AG175" i="42" s="1"/>
  <c r="AG176" i="42" s="1"/>
  <c r="AG177" i="42" s="1"/>
  <c r="AG178" i="42" s="1"/>
  <c r="AG179" i="42" s="1"/>
  <c r="AG180" i="42" s="1"/>
  <c r="AG181" i="42" s="1"/>
  <c r="AG182" i="42" s="1"/>
  <c r="AG183" i="42" s="1"/>
  <c r="AG184" i="42" s="1"/>
  <c r="AG185" i="42" s="1"/>
  <c r="AG186" i="42" s="1"/>
  <c r="AG187" i="42" s="1"/>
  <c r="AG188" i="42" s="1"/>
  <c r="AG189" i="42" s="1"/>
  <c r="AG190" i="42" s="1"/>
  <c r="AG191" i="42" s="1"/>
  <c r="AG192" i="42" s="1"/>
  <c r="AG193" i="42" s="1"/>
  <c r="AG194" i="42" s="1"/>
  <c r="AG195" i="42" s="1"/>
  <c r="AG196" i="42" s="1"/>
  <c r="AG197" i="42" s="1"/>
  <c r="AG198" i="42" s="1"/>
  <c r="AG199" i="42" s="1"/>
  <c r="AG200" i="42" s="1"/>
  <c r="AG201" i="42" s="1"/>
  <c r="AG202" i="42" s="1"/>
  <c r="AG203" i="42" s="1"/>
  <c r="AG204" i="42" s="1"/>
  <c r="AG205" i="42" s="1"/>
  <c r="AG206" i="42" s="1"/>
  <c r="AG207" i="42" s="1"/>
  <c r="AG208" i="42" s="1"/>
  <c r="AG209" i="42" s="1"/>
  <c r="AG210" i="42" s="1"/>
  <c r="AG211" i="42" s="1"/>
  <c r="AG212" i="42" s="1"/>
  <c r="AG213" i="42" s="1"/>
  <c r="AG214" i="42" s="1"/>
  <c r="AG215" i="42" s="1"/>
  <c r="AG216" i="42" s="1"/>
  <c r="AG217" i="42" s="1"/>
  <c r="AG218" i="42" s="1"/>
  <c r="AG219" i="42" s="1"/>
  <c r="AG220" i="42" s="1"/>
  <c r="AG221" i="42" s="1"/>
  <c r="AG222" i="42" s="1"/>
  <c r="AG223" i="42" s="1"/>
  <c r="AG224" i="42" s="1"/>
  <c r="AG225" i="42" s="1"/>
  <c r="AG226" i="42" s="1"/>
  <c r="AG227" i="42" s="1"/>
  <c r="AG228" i="42" s="1"/>
  <c r="AG229" i="42" s="1"/>
  <c r="AG230" i="42" s="1"/>
  <c r="AG231" i="42" s="1"/>
  <c r="AG232" i="42" s="1"/>
  <c r="AG233" i="42" s="1"/>
  <c r="AG234" i="42" s="1"/>
  <c r="AG235" i="42" s="1"/>
  <c r="AG236" i="42" s="1"/>
  <c r="AG237" i="42" s="1"/>
  <c r="AG238" i="42" s="1"/>
  <c r="AG239" i="42" s="1"/>
  <c r="AG240" i="42" s="1"/>
  <c r="AG241" i="42" s="1"/>
  <c r="AG242" i="42" s="1"/>
  <c r="AG243" i="42" s="1"/>
  <c r="AG244" i="42" s="1"/>
  <c r="AG245" i="42" s="1"/>
  <c r="AG246" i="42" s="1"/>
  <c r="AG247" i="42" s="1"/>
  <c r="AG248" i="42" s="1"/>
  <c r="AG249" i="42" s="1"/>
  <c r="AG250" i="42" s="1"/>
  <c r="AG251" i="42" s="1"/>
  <c r="AG252" i="42" s="1"/>
  <c r="AG253" i="42" s="1"/>
  <c r="AG254" i="42" s="1"/>
  <c r="AG255" i="42" s="1"/>
  <c r="AG256" i="42" s="1"/>
  <c r="AG257" i="42" s="1"/>
  <c r="AG258" i="42" s="1"/>
  <c r="AG259" i="42" s="1"/>
  <c r="AG260" i="42" s="1"/>
  <c r="AG261" i="42" s="1"/>
  <c r="AG262" i="42" s="1"/>
  <c r="AG263" i="42" s="1"/>
  <c r="AG264" i="42" s="1"/>
  <c r="AG265" i="42" s="1"/>
  <c r="AG266" i="42" s="1"/>
  <c r="AG267" i="42" s="1"/>
  <c r="AG268" i="42" s="1"/>
  <c r="AG269" i="42" s="1"/>
  <c r="AG270" i="42" s="1"/>
  <c r="AG271" i="42" s="1"/>
  <c r="AG272" i="42" s="1"/>
  <c r="AG273" i="42" s="1"/>
  <c r="AG274" i="42" s="1"/>
  <c r="AG275" i="42" s="1"/>
  <c r="AG276" i="42" s="1"/>
  <c r="AG277" i="42" s="1"/>
  <c r="AG278" i="42" s="1"/>
  <c r="AG279" i="42" s="1"/>
  <c r="AG280" i="42" s="1"/>
  <c r="AG281" i="42" s="1"/>
  <c r="AG282" i="42" s="1"/>
  <c r="AG283" i="42" s="1"/>
  <c r="AG284" i="42" s="1"/>
  <c r="AG285" i="42" s="1"/>
  <c r="AG286" i="42" s="1"/>
  <c r="AG287" i="42" s="1"/>
  <c r="AG288" i="42" s="1"/>
  <c r="AG289" i="42" s="1"/>
  <c r="AG290" i="42" s="1"/>
  <c r="AG291" i="42" s="1"/>
  <c r="AG292" i="42" s="1"/>
  <c r="AG293" i="42" s="1"/>
  <c r="AG294" i="42" s="1"/>
  <c r="AG295" i="42" s="1"/>
  <c r="AG296" i="42" s="1"/>
  <c r="AG297" i="42" s="1"/>
  <c r="AG298" i="42" s="1"/>
  <c r="AG299" i="42" s="1"/>
  <c r="AG300" i="42" s="1"/>
  <c r="AG301" i="42" s="1"/>
  <c r="AG302" i="42" s="1"/>
  <c r="AG303" i="42" s="1"/>
  <c r="AG304" i="42" s="1"/>
  <c r="AG305" i="42" s="1"/>
  <c r="AG306" i="42" s="1"/>
  <c r="AG307" i="42" s="1"/>
  <c r="AG308" i="42" s="1"/>
  <c r="AG309" i="42" s="1"/>
  <c r="AG310" i="42" s="1"/>
  <c r="AG311" i="42" s="1"/>
  <c r="AG312" i="42" s="1"/>
  <c r="AG313" i="42" s="1"/>
  <c r="AG314" i="42" s="1"/>
  <c r="AG315" i="42" s="1"/>
  <c r="AG316" i="42" s="1"/>
  <c r="AG317" i="42" s="1"/>
  <c r="AG318" i="42" s="1"/>
  <c r="AG319" i="42" s="1"/>
  <c r="AG320" i="42" s="1"/>
  <c r="AG321" i="42" s="1"/>
  <c r="AG322" i="42" s="1"/>
  <c r="AG323" i="42" s="1"/>
  <c r="AG324" i="42" s="1"/>
  <c r="AG325" i="42" s="1"/>
  <c r="AG326" i="42" s="1"/>
  <c r="AG327" i="42" s="1"/>
  <c r="AG328" i="42" s="1"/>
  <c r="AG329" i="42" s="1"/>
  <c r="AG330" i="42" s="1"/>
  <c r="AG331" i="42" s="1"/>
  <c r="AG332" i="42" s="1"/>
  <c r="AG333" i="42" s="1"/>
  <c r="AG334" i="42" s="1"/>
  <c r="AG335" i="42" s="1"/>
  <c r="AG336" i="42" s="1"/>
  <c r="AG337" i="42" s="1"/>
  <c r="AG338" i="42" s="1"/>
  <c r="AG339" i="42" s="1"/>
  <c r="AG340" i="42" s="1"/>
  <c r="AG341" i="42" s="1"/>
  <c r="AG342" i="42" s="1"/>
  <c r="AG343" i="42" s="1"/>
  <c r="AG344" i="42" s="1"/>
  <c r="AG345" i="42" s="1"/>
  <c r="AG346" i="42" s="1"/>
  <c r="AG347" i="42" s="1"/>
  <c r="AG348" i="42" s="1"/>
  <c r="AG349" i="42" s="1"/>
  <c r="AG350" i="42" s="1"/>
  <c r="AG351" i="42" s="1"/>
  <c r="AG352" i="42" s="1"/>
  <c r="AG353" i="42" s="1"/>
  <c r="AG354" i="42" s="1"/>
  <c r="AG355" i="42" s="1"/>
  <c r="AG356" i="42" s="1"/>
  <c r="AG357" i="42" s="1"/>
  <c r="AG358" i="42" s="1"/>
  <c r="AG359" i="42" s="1"/>
  <c r="AG360" i="42" s="1"/>
  <c r="AG361" i="42" s="1"/>
  <c r="AG362" i="42" s="1"/>
  <c r="AG363" i="42" s="1"/>
  <c r="AG364" i="42" s="1"/>
  <c r="AG365" i="42" s="1"/>
  <c r="AG366" i="42" s="1"/>
  <c r="AG367" i="42" s="1"/>
  <c r="AG368" i="42" s="1"/>
  <c r="AG369" i="42" s="1"/>
  <c r="AG370" i="42" s="1"/>
  <c r="AG371" i="42" s="1"/>
  <c r="AG372" i="42" s="1"/>
  <c r="AG373" i="42" s="1"/>
  <c r="AG374" i="42" s="1"/>
  <c r="AG375" i="42" s="1"/>
  <c r="AG376" i="42" s="1"/>
  <c r="AG377" i="42" s="1"/>
  <c r="AG378" i="42" s="1"/>
  <c r="AG379" i="42" s="1"/>
  <c r="AG380" i="42" s="1"/>
  <c r="AG381" i="42" s="1"/>
  <c r="AG382" i="42" s="1"/>
  <c r="AG383" i="42" s="1"/>
  <c r="AG384" i="42" s="1"/>
  <c r="AG385" i="42" s="1"/>
  <c r="AG386" i="42" s="1"/>
  <c r="AG387" i="42" s="1"/>
  <c r="AG388" i="42" s="1"/>
  <c r="AG389" i="42" s="1"/>
  <c r="AG390" i="42" s="1"/>
  <c r="AG391" i="42" s="1"/>
  <c r="AG392" i="42" s="1"/>
  <c r="AG393" i="42" s="1"/>
  <c r="AG394" i="42" s="1"/>
  <c r="AG395" i="42" s="1"/>
  <c r="AG396" i="42" s="1"/>
  <c r="AG397" i="42" s="1"/>
  <c r="AG398" i="42" s="1"/>
  <c r="AG399" i="42" s="1"/>
  <c r="AG400" i="42" s="1"/>
  <c r="AG401" i="42" s="1"/>
  <c r="AG402" i="42" s="1"/>
  <c r="AG403" i="42" s="1"/>
  <c r="AG404" i="42" s="1"/>
  <c r="AG405" i="42" s="1"/>
  <c r="AG406" i="42" s="1"/>
  <c r="AG407" i="42" s="1"/>
  <c r="AG408" i="42" s="1"/>
  <c r="AG409" i="42" s="1"/>
  <c r="AG410" i="42" s="1"/>
  <c r="AG411" i="42" s="1"/>
  <c r="AG412" i="42" s="1"/>
  <c r="AG413" i="42" s="1"/>
  <c r="AG414" i="42" s="1"/>
  <c r="AG415" i="42" s="1"/>
  <c r="AG416" i="42" s="1"/>
  <c r="AG417" i="42" s="1"/>
  <c r="AG418" i="42" s="1"/>
  <c r="AG419" i="42" s="1"/>
  <c r="AG420" i="42" s="1"/>
  <c r="AG421" i="42" s="1"/>
  <c r="AG422" i="42" s="1"/>
  <c r="AG423" i="42" s="1"/>
  <c r="AG424" i="42" s="1"/>
  <c r="AG425" i="42" s="1"/>
  <c r="AG426" i="42" s="1"/>
  <c r="AG427" i="42" s="1"/>
  <c r="AG428" i="42" s="1"/>
  <c r="AG429" i="42" s="1"/>
  <c r="AG430" i="42" s="1"/>
  <c r="AG431" i="42" s="1"/>
  <c r="AG432" i="42" s="1"/>
  <c r="AG433" i="42" s="1"/>
  <c r="AG434" i="42" s="1"/>
  <c r="AG435" i="42" s="1"/>
  <c r="AG436" i="42" s="1"/>
  <c r="AG437" i="42" s="1"/>
  <c r="AG438" i="42" s="1"/>
  <c r="AG439" i="42" s="1"/>
  <c r="AG440" i="42" s="1"/>
  <c r="AG441" i="42" s="1"/>
  <c r="AG442" i="42" s="1"/>
  <c r="AG443" i="42" s="1"/>
  <c r="AG444" i="42" s="1"/>
  <c r="AG445" i="42" s="1"/>
  <c r="AG446" i="42" s="1"/>
  <c r="AG447" i="42" s="1"/>
  <c r="AG448" i="42" s="1"/>
  <c r="AG449" i="42" s="1"/>
  <c r="AG450" i="42" s="1"/>
  <c r="AG451" i="42" s="1"/>
  <c r="AG452" i="42" s="1"/>
  <c r="AG453" i="42" s="1"/>
  <c r="AG454" i="42" s="1"/>
  <c r="AG455" i="42" s="1"/>
  <c r="AG456" i="42" s="1"/>
  <c r="AG457" i="42" s="1"/>
  <c r="AG458" i="42" s="1"/>
  <c r="AG459" i="42" s="1"/>
  <c r="AG460" i="42" s="1"/>
  <c r="AG461" i="42" s="1"/>
  <c r="AG462" i="42" s="1"/>
  <c r="AG463" i="42" s="1"/>
  <c r="AG464" i="42" s="1"/>
  <c r="AG465" i="42" s="1"/>
  <c r="AG466" i="42" s="1"/>
  <c r="AG467" i="42" s="1"/>
  <c r="AG468" i="42" s="1"/>
  <c r="AG469" i="42" s="1"/>
  <c r="AG470" i="42" s="1"/>
  <c r="AG471" i="42" s="1"/>
  <c r="AG472" i="42" s="1"/>
  <c r="AG473" i="42" s="1"/>
  <c r="AG474" i="42" s="1"/>
  <c r="AG475" i="42" s="1"/>
  <c r="AG476" i="42" s="1"/>
  <c r="AG477" i="42" s="1"/>
  <c r="AG478" i="42" s="1"/>
  <c r="AG479" i="42" s="1"/>
  <c r="AG480" i="42" s="1"/>
  <c r="AG481" i="42" s="1"/>
  <c r="AG482" i="42" s="1"/>
  <c r="AG483" i="42" s="1"/>
  <c r="AG484" i="42" s="1"/>
  <c r="AG485" i="42" s="1"/>
  <c r="AG486" i="42" s="1"/>
  <c r="AG487" i="42" s="1"/>
  <c r="AG488" i="42" s="1"/>
  <c r="AG489" i="42" s="1"/>
  <c r="AG490" i="42" s="1"/>
  <c r="AG491" i="42" s="1"/>
  <c r="AG492" i="42" s="1"/>
  <c r="AG493" i="42" s="1"/>
  <c r="AG494" i="42" s="1"/>
  <c r="AG495" i="42" s="1"/>
  <c r="AG496" i="42" s="1"/>
  <c r="AG497" i="42" s="1"/>
  <c r="AG498" i="42" s="1"/>
  <c r="AG499" i="42" s="1"/>
  <c r="AG500" i="42" s="1"/>
  <c r="AG501" i="42" s="1"/>
  <c r="AG502" i="42" s="1"/>
  <c r="AG503" i="42" s="1"/>
  <c r="AG504" i="42" s="1"/>
  <c r="AG505" i="42" s="1"/>
  <c r="AG506" i="42" s="1"/>
  <c r="AG507" i="42" s="1"/>
  <c r="AG508" i="42" s="1"/>
  <c r="AG509" i="42" s="1"/>
  <c r="AG510" i="42" s="1"/>
  <c r="AG511" i="42" s="1"/>
  <c r="AG512" i="42" s="1"/>
  <c r="AG513" i="42" s="1"/>
  <c r="AG514" i="42" s="1"/>
  <c r="AG515" i="42" s="1"/>
  <c r="AG516" i="42" s="1"/>
  <c r="AG517" i="42" s="1"/>
  <c r="AG518" i="42" s="1"/>
  <c r="AG519" i="42" s="1"/>
  <c r="AG520" i="42" s="1"/>
  <c r="AG521" i="42" s="1"/>
  <c r="AG522" i="42" s="1"/>
  <c r="AG523" i="42" s="1"/>
  <c r="AG524" i="42" s="1"/>
  <c r="AG525" i="42" s="1"/>
  <c r="AG526" i="42" s="1"/>
  <c r="AG527" i="42" s="1"/>
  <c r="AG528" i="42" s="1"/>
  <c r="AG529" i="42" s="1"/>
  <c r="AG530" i="42" s="1"/>
  <c r="AG531" i="42" s="1"/>
  <c r="AG532" i="42" s="1"/>
  <c r="AG533" i="42" s="1"/>
  <c r="AG534" i="42" s="1"/>
  <c r="AG535" i="42" s="1"/>
  <c r="AG536" i="42" s="1"/>
  <c r="AG537" i="42" s="1"/>
  <c r="AG538" i="42" s="1"/>
  <c r="AG539" i="42" s="1"/>
  <c r="AG540" i="42" s="1"/>
  <c r="AG541" i="42" s="1"/>
  <c r="AG542" i="42" s="1"/>
  <c r="AG543" i="42" s="1"/>
  <c r="AG544" i="42" s="1"/>
  <c r="AG545" i="42" s="1"/>
  <c r="AG546" i="42" s="1"/>
  <c r="AG547" i="42" s="1"/>
  <c r="AG548" i="42" s="1"/>
  <c r="AG549" i="42" s="1"/>
  <c r="AG550" i="42" s="1"/>
  <c r="AG551" i="42" s="1"/>
  <c r="AG552" i="42" s="1"/>
  <c r="AG553" i="42" s="1"/>
  <c r="AG554" i="42" s="1"/>
  <c r="AG555" i="42" s="1"/>
  <c r="AG556" i="42" s="1"/>
  <c r="AG557" i="42" s="1"/>
  <c r="AG558" i="42" s="1"/>
  <c r="AG559" i="42" s="1"/>
  <c r="AG560" i="42" s="1"/>
  <c r="AG561" i="42" s="1"/>
  <c r="AG562" i="42" s="1"/>
  <c r="AG563" i="42" s="1"/>
  <c r="AG564" i="42" s="1"/>
  <c r="AG565" i="42" s="1"/>
  <c r="AG566" i="42" s="1"/>
  <c r="AG567" i="42" s="1"/>
  <c r="AG568" i="42" s="1"/>
  <c r="AG569" i="42" s="1"/>
  <c r="AG570" i="42" s="1"/>
  <c r="AG571" i="42" s="1"/>
  <c r="AG572" i="42" s="1"/>
  <c r="AG573" i="42" s="1"/>
  <c r="AG574" i="42" s="1"/>
  <c r="AG575" i="42" s="1"/>
  <c r="AG576" i="42" s="1"/>
  <c r="AG577" i="42" s="1"/>
  <c r="AG578" i="42" s="1"/>
  <c r="AG579" i="42" s="1"/>
  <c r="AG580" i="42" s="1"/>
  <c r="AG581" i="42" s="1"/>
  <c r="AG582" i="42" s="1"/>
  <c r="AG583" i="42" s="1"/>
  <c r="AG584" i="42" s="1"/>
  <c r="AG585" i="42" s="1"/>
  <c r="AG586" i="42" s="1"/>
  <c r="AG587" i="42" s="1"/>
  <c r="AG588" i="42" s="1"/>
  <c r="AG589" i="42" s="1"/>
  <c r="AG590" i="42" s="1"/>
  <c r="AG591" i="42" s="1"/>
  <c r="AG592" i="42" s="1"/>
  <c r="AG593" i="42" s="1"/>
  <c r="AG594" i="42" s="1"/>
  <c r="AG595" i="42" s="1"/>
  <c r="AG596" i="42" s="1"/>
  <c r="AG597" i="42" s="1"/>
  <c r="AG598" i="42" s="1"/>
  <c r="AG599" i="42" s="1"/>
  <c r="AG600" i="42" s="1"/>
  <c r="AG601" i="42" s="1"/>
  <c r="AG602" i="42" s="1"/>
  <c r="AG603" i="42" s="1"/>
  <c r="AG604" i="42" s="1"/>
  <c r="AG605" i="42" s="1"/>
  <c r="AG606" i="42" s="1"/>
  <c r="AG607" i="42" s="1"/>
  <c r="AG608" i="42" s="1"/>
  <c r="AG609" i="42" s="1"/>
  <c r="AG610" i="42" s="1"/>
  <c r="AG611" i="42" s="1"/>
  <c r="AG612" i="42" s="1"/>
  <c r="AG613" i="42" s="1"/>
  <c r="AG614" i="42" s="1"/>
  <c r="AG615" i="42" s="1"/>
  <c r="AG616" i="42" s="1"/>
  <c r="AG617" i="42" s="1"/>
  <c r="AG618" i="42" s="1"/>
  <c r="AG619" i="42" s="1"/>
  <c r="AG620" i="42" s="1"/>
  <c r="AG621" i="42" s="1"/>
  <c r="AG622" i="42" s="1"/>
  <c r="AG623" i="42" s="1"/>
  <c r="AG624" i="42" s="1"/>
  <c r="AG625" i="42" s="1"/>
  <c r="AG626" i="42" s="1"/>
  <c r="AG627" i="42" s="1"/>
  <c r="AG628" i="42" s="1"/>
  <c r="AG629" i="42" s="1"/>
  <c r="AG630" i="42" s="1"/>
  <c r="AG631" i="42" s="1"/>
  <c r="AG632" i="42" s="1"/>
  <c r="AG633" i="42" s="1"/>
  <c r="AG634" i="42" s="1"/>
  <c r="AG635" i="42" s="1"/>
  <c r="AG636" i="42" s="1"/>
  <c r="AG637" i="42" s="1"/>
  <c r="AG638" i="42" s="1"/>
  <c r="AG639" i="42" s="1"/>
  <c r="AG640" i="42" s="1"/>
  <c r="AG641" i="42" s="1"/>
  <c r="AG642" i="42" s="1"/>
  <c r="AG643" i="42" s="1"/>
  <c r="AG644" i="42" s="1"/>
  <c r="AG645" i="42" s="1"/>
  <c r="AG646" i="42" s="1"/>
  <c r="AG647" i="42" s="1"/>
  <c r="AG648" i="42" s="1"/>
  <c r="AG649" i="42" s="1"/>
  <c r="AG650" i="42" s="1"/>
  <c r="AG651" i="42" s="1"/>
  <c r="AG652" i="42" s="1"/>
  <c r="AG653" i="42" s="1"/>
  <c r="AG654" i="42" s="1"/>
  <c r="AG655" i="42" s="1"/>
  <c r="AG656" i="42" s="1"/>
  <c r="AG657" i="42" s="1"/>
  <c r="AG658" i="42" s="1"/>
  <c r="AG659" i="42" s="1"/>
  <c r="AG660" i="42" s="1"/>
  <c r="AG661" i="42" s="1"/>
  <c r="AG662" i="42" s="1"/>
  <c r="AG663" i="42" s="1"/>
  <c r="AG664" i="42" s="1"/>
  <c r="AG665" i="42" s="1"/>
  <c r="AG666" i="42" s="1"/>
  <c r="AG667" i="42" s="1"/>
  <c r="AG668" i="42" s="1"/>
  <c r="AG669" i="42" s="1"/>
  <c r="AG670" i="42" s="1"/>
  <c r="AG671" i="42" s="1"/>
  <c r="AG672" i="42" s="1"/>
  <c r="AG673" i="42" s="1"/>
  <c r="AG674" i="42" s="1"/>
  <c r="AG675" i="42" s="1"/>
  <c r="AG676" i="42" s="1"/>
  <c r="AG677" i="42" s="1"/>
  <c r="AG678" i="42" s="1"/>
  <c r="AG679" i="42" s="1"/>
  <c r="AG680" i="42" s="1"/>
  <c r="AG681" i="42" s="1"/>
  <c r="AG682" i="42" s="1"/>
  <c r="AG683" i="42" s="1"/>
  <c r="AG684" i="42" s="1"/>
  <c r="AG685" i="42" s="1"/>
  <c r="AG686" i="42" s="1"/>
  <c r="AG687" i="42" s="1"/>
  <c r="AG688" i="42" s="1"/>
  <c r="AG689" i="42" s="1"/>
  <c r="AG690" i="42" s="1"/>
  <c r="AG691" i="42" s="1"/>
  <c r="AG692" i="42" s="1"/>
  <c r="AG693" i="42" s="1"/>
  <c r="AG694" i="42" s="1"/>
  <c r="AG695" i="42" s="1"/>
  <c r="AG696" i="42" s="1"/>
  <c r="AG697" i="42" s="1"/>
  <c r="AG698" i="42" s="1"/>
  <c r="AG699" i="42" s="1"/>
  <c r="AG700" i="42" s="1"/>
  <c r="AG701" i="42" s="1"/>
  <c r="AG702" i="42" s="1"/>
  <c r="AG703" i="42" s="1"/>
  <c r="AG704" i="42" s="1"/>
  <c r="AG705" i="42" s="1"/>
  <c r="AG706" i="42" s="1"/>
  <c r="AG707" i="42" s="1"/>
  <c r="AG708" i="42" s="1"/>
  <c r="AG709" i="42" s="1"/>
  <c r="AG710" i="42" s="1"/>
  <c r="AG711" i="42" s="1"/>
  <c r="AG712" i="42" s="1"/>
  <c r="AG713" i="42" s="1"/>
  <c r="AG714" i="42" s="1"/>
  <c r="AG715" i="42" s="1"/>
  <c r="AG716" i="42" s="1"/>
  <c r="AG717" i="42" s="1"/>
  <c r="AG718" i="42" s="1"/>
  <c r="AG719" i="42" s="1"/>
  <c r="AG720" i="42" s="1"/>
  <c r="AG721" i="42" s="1"/>
  <c r="AG722" i="42" s="1"/>
  <c r="AG723" i="42" s="1"/>
  <c r="AG724" i="42" s="1"/>
  <c r="AG725" i="42" s="1"/>
  <c r="AG726" i="42" s="1"/>
  <c r="AG727" i="42" s="1"/>
  <c r="AG728" i="42" s="1"/>
  <c r="AG729" i="42" s="1"/>
  <c r="AG730" i="42" s="1"/>
  <c r="AG731" i="42" s="1"/>
  <c r="AG732" i="42" s="1"/>
  <c r="AG733" i="42" s="1"/>
  <c r="AG734" i="42" s="1"/>
  <c r="AG735" i="42" s="1"/>
  <c r="AG736" i="42" s="1"/>
  <c r="AG737" i="42" s="1"/>
  <c r="AG738" i="42" s="1"/>
  <c r="AG739" i="42" s="1"/>
  <c r="AG740" i="42" s="1"/>
  <c r="AG741" i="42" s="1"/>
  <c r="AG742" i="42" s="1"/>
  <c r="AG743" i="42" s="1"/>
  <c r="AG744" i="42" s="1"/>
  <c r="AG745" i="42" s="1"/>
  <c r="AG746" i="42" s="1"/>
  <c r="AG747" i="42" s="1"/>
  <c r="AG748" i="42" s="1"/>
  <c r="AG749" i="42" s="1"/>
  <c r="AG750" i="42" s="1"/>
  <c r="AG751" i="42" s="1"/>
  <c r="AG752" i="42" s="1"/>
  <c r="AG753" i="42" s="1"/>
  <c r="AG754" i="42" s="1"/>
  <c r="AG755" i="42" s="1"/>
  <c r="AG756" i="42" s="1"/>
  <c r="AG757" i="42" s="1"/>
  <c r="AG758" i="42" s="1"/>
  <c r="AG759" i="42" s="1"/>
  <c r="AG760" i="42" s="1"/>
  <c r="AG761" i="42" s="1"/>
  <c r="AG762" i="42" s="1"/>
  <c r="AG763" i="42" s="1"/>
  <c r="AG764" i="42" s="1"/>
  <c r="AG765" i="42" s="1"/>
  <c r="AG766" i="42" s="1"/>
  <c r="AG767" i="42" s="1"/>
  <c r="AG768" i="42" s="1"/>
  <c r="AG769" i="42" s="1"/>
  <c r="AG770" i="42" s="1"/>
  <c r="AG771" i="42" s="1"/>
  <c r="AG772" i="42" s="1"/>
  <c r="AG773" i="42" s="1"/>
  <c r="AG774" i="42" s="1"/>
  <c r="AG775" i="42" s="1"/>
  <c r="AG776" i="42" s="1"/>
  <c r="AG777" i="42" s="1"/>
  <c r="AG778" i="42" s="1"/>
  <c r="AG779" i="42" s="1"/>
  <c r="AG780" i="42" s="1"/>
  <c r="AG781" i="42" s="1"/>
  <c r="AG782" i="42" s="1"/>
  <c r="AG783" i="42" s="1"/>
  <c r="AG784" i="42" s="1"/>
  <c r="AG785" i="42" s="1"/>
  <c r="AG786" i="42" s="1"/>
  <c r="AG787" i="42" s="1"/>
  <c r="AG788" i="42" s="1"/>
  <c r="AG789" i="42" s="1"/>
  <c r="AG790" i="42" s="1"/>
  <c r="AG791" i="42" s="1"/>
  <c r="AG792" i="42" s="1"/>
  <c r="AG793" i="42" s="1"/>
  <c r="AG794" i="42" s="1"/>
  <c r="AG795" i="42" s="1"/>
  <c r="AG796" i="42" s="1"/>
  <c r="AG797" i="42" s="1"/>
  <c r="AG798" i="42" s="1"/>
  <c r="AG799" i="42" s="1"/>
  <c r="AG800" i="42" s="1"/>
  <c r="AG801" i="42" s="1"/>
  <c r="AG802" i="42" s="1"/>
  <c r="AG803" i="42" s="1"/>
  <c r="AG804" i="42" s="1"/>
  <c r="AG805" i="42" s="1"/>
  <c r="AG806" i="42" s="1"/>
  <c r="AG807" i="42" s="1"/>
  <c r="AG808" i="42" s="1"/>
  <c r="AG809" i="42" s="1"/>
  <c r="AG810" i="42" s="1"/>
  <c r="AG811" i="42" s="1"/>
  <c r="AG812" i="42" s="1"/>
  <c r="AG813" i="42" s="1"/>
  <c r="AG814" i="42" s="1"/>
  <c r="AG815" i="42" s="1"/>
  <c r="AG816" i="42" s="1"/>
  <c r="AG817" i="42" s="1"/>
  <c r="AG818" i="42" s="1"/>
  <c r="AG819" i="42" s="1"/>
  <c r="AG820" i="42" s="1"/>
  <c r="AG821" i="42" s="1"/>
  <c r="AG822" i="42" s="1"/>
  <c r="AG823" i="42" s="1"/>
  <c r="AG824" i="42" s="1"/>
  <c r="AG825" i="42" s="1"/>
  <c r="AG826" i="42" s="1"/>
  <c r="AG827" i="42" s="1"/>
  <c r="AG828" i="42" s="1"/>
  <c r="AG829" i="42" s="1"/>
  <c r="AG830" i="42" s="1"/>
  <c r="AG831" i="42" s="1"/>
  <c r="AG832" i="42" s="1"/>
  <c r="AG833" i="42" s="1"/>
  <c r="AG834" i="42" s="1"/>
  <c r="AG835" i="42" s="1"/>
  <c r="AG836" i="42" s="1"/>
  <c r="AG837" i="42" s="1"/>
  <c r="AG838" i="42" s="1"/>
  <c r="AG839" i="42" s="1"/>
  <c r="AG840" i="42" s="1"/>
  <c r="AG841" i="42" s="1"/>
  <c r="AG842" i="42" s="1"/>
  <c r="AG843" i="42" s="1"/>
  <c r="AG844" i="42" s="1"/>
  <c r="AG845" i="42" s="1"/>
  <c r="AG846" i="42" s="1"/>
  <c r="AG847" i="42" s="1"/>
  <c r="AG848" i="42" s="1"/>
  <c r="AG849" i="42" s="1"/>
  <c r="AG850" i="42" s="1"/>
  <c r="AG851" i="42" s="1"/>
  <c r="AG852" i="42" s="1"/>
  <c r="AG853" i="42" s="1"/>
  <c r="AG854" i="42" s="1"/>
  <c r="AG855" i="42" s="1"/>
  <c r="AG856" i="42" s="1"/>
  <c r="AG857" i="42" s="1"/>
  <c r="AG858" i="42" s="1"/>
  <c r="AG859" i="42" s="1"/>
  <c r="AG860" i="42" s="1"/>
  <c r="AG861" i="42" s="1"/>
  <c r="AG862" i="42" s="1"/>
  <c r="AG863" i="42" s="1"/>
  <c r="AG864" i="42" s="1"/>
  <c r="AG865" i="42" s="1"/>
  <c r="AG866" i="42" s="1"/>
  <c r="AG867" i="42" s="1"/>
  <c r="AG868" i="42" s="1"/>
  <c r="AG869" i="42" s="1"/>
  <c r="AG870" i="42" s="1"/>
  <c r="AG871" i="42" s="1"/>
  <c r="AG872" i="42" s="1"/>
  <c r="AG873" i="42" s="1"/>
  <c r="AG874" i="42" s="1"/>
  <c r="AG875" i="42" s="1"/>
  <c r="AG876" i="42" s="1"/>
  <c r="AG877" i="42" s="1"/>
  <c r="AG878" i="42" s="1"/>
  <c r="AG879" i="42" s="1"/>
  <c r="AG880" i="42" s="1"/>
  <c r="AG881" i="42" s="1"/>
  <c r="AG882" i="42" s="1"/>
  <c r="AG883" i="42" s="1"/>
  <c r="AG884" i="42" s="1"/>
  <c r="AG885" i="42" s="1"/>
  <c r="AG886" i="42" s="1"/>
  <c r="AG887" i="42" s="1"/>
  <c r="AG888" i="42" s="1"/>
  <c r="AG889" i="42" s="1"/>
  <c r="AG890" i="42" s="1"/>
  <c r="AG891" i="42" s="1"/>
  <c r="AG892" i="42" s="1"/>
  <c r="AG893" i="42" s="1"/>
  <c r="AG894" i="42" s="1"/>
  <c r="AG895" i="42" s="1"/>
  <c r="AG896" i="42" s="1"/>
  <c r="AG897" i="42" s="1"/>
  <c r="AG898" i="42" s="1"/>
  <c r="AG899" i="42" s="1"/>
  <c r="AG900" i="42" s="1"/>
  <c r="AG901" i="42" s="1"/>
  <c r="AG902" i="42" s="1"/>
  <c r="AG903" i="42" s="1"/>
  <c r="AG904" i="42" s="1"/>
  <c r="AG905" i="42" s="1"/>
  <c r="AG906" i="42" s="1"/>
  <c r="AG907" i="42" s="1"/>
  <c r="AG908" i="42" s="1"/>
  <c r="AG909" i="42" s="1"/>
  <c r="AG910" i="42" s="1"/>
  <c r="AG911" i="42" s="1"/>
  <c r="AG912" i="42" s="1"/>
  <c r="AG913" i="42" s="1"/>
  <c r="AG914" i="42" s="1"/>
  <c r="AG915" i="42" s="1"/>
  <c r="AG916" i="42" s="1"/>
  <c r="AG917" i="42" s="1"/>
  <c r="AG918" i="42" s="1"/>
  <c r="AG919" i="42" s="1"/>
  <c r="AG920" i="42" s="1"/>
  <c r="AG921" i="42" s="1"/>
  <c r="AG922" i="42" s="1"/>
  <c r="AG923" i="42" s="1"/>
  <c r="AG924" i="42" s="1"/>
  <c r="AG925" i="42" s="1"/>
  <c r="AG926" i="42" s="1"/>
  <c r="AG927" i="42" s="1"/>
  <c r="AG928" i="42" s="1"/>
  <c r="AG929" i="42" s="1"/>
  <c r="AG930" i="42" s="1"/>
  <c r="AG931" i="42" s="1"/>
  <c r="AG932" i="42" s="1"/>
  <c r="AG933" i="42" s="1"/>
  <c r="AG934" i="42" s="1"/>
  <c r="AG935" i="42" s="1"/>
  <c r="AG936" i="42" s="1"/>
  <c r="AG937" i="42" s="1"/>
  <c r="AG938" i="42" s="1"/>
  <c r="AG939" i="42" s="1"/>
  <c r="AG940" i="42" s="1"/>
  <c r="AG941" i="42" s="1"/>
  <c r="AG942" i="42" s="1"/>
  <c r="AG943" i="42" s="1"/>
  <c r="AG944" i="42" s="1"/>
  <c r="AG945" i="42" s="1"/>
  <c r="AG946" i="42" s="1"/>
  <c r="AG947" i="42" s="1"/>
  <c r="AG948" i="42" s="1"/>
  <c r="AG949" i="42" s="1"/>
  <c r="AG950" i="42" s="1"/>
  <c r="AG951" i="42" s="1"/>
  <c r="AG952" i="42" s="1"/>
  <c r="AG953" i="42" s="1"/>
  <c r="AG954" i="42" s="1"/>
  <c r="AG955" i="42" s="1"/>
  <c r="AG956" i="42" s="1"/>
  <c r="AG957" i="42" s="1"/>
  <c r="AG958" i="42" s="1"/>
  <c r="AG959" i="42" s="1"/>
  <c r="AG960" i="42" s="1"/>
  <c r="AG961" i="42" s="1"/>
  <c r="AG962" i="42" s="1"/>
  <c r="AG963" i="42" s="1"/>
  <c r="AG964" i="42" s="1"/>
  <c r="AG965" i="42" s="1"/>
  <c r="AG966" i="42" s="1"/>
  <c r="AG967" i="42" s="1"/>
  <c r="AG968" i="42" s="1"/>
  <c r="AG969" i="42" s="1"/>
  <c r="AG970" i="42" s="1"/>
  <c r="AG971" i="42" s="1"/>
  <c r="AG972" i="42" s="1"/>
  <c r="AG973" i="42" s="1"/>
  <c r="AG974" i="42" s="1"/>
  <c r="AG975" i="42" s="1"/>
  <c r="AG976" i="42" s="1"/>
  <c r="AG977" i="42" s="1"/>
  <c r="AG978" i="42" s="1"/>
  <c r="AG979" i="42" s="1"/>
  <c r="AG980" i="42" s="1"/>
  <c r="AG981" i="42" s="1"/>
  <c r="AG982" i="42" s="1"/>
  <c r="AG983" i="42" s="1"/>
  <c r="AG984" i="42" s="1"/>
  <c r="AG985" i="42" s="1"/>
  <c r="AG986" i="42" s="1"/>
  <c r="AG987" i="42" s="1"/>
  <c r="AG988" i="42" s="1"/>
  <c r="AG989" i="42" s="1"/>
  <c r="AG990" i="42" s="1"/>
  <c r="AG991" i="42" s="1"/>
  <c r="AG992" i="42" s="1"/>
  <c r="AG993" i="42" s="1"/>
  <c r="AG994" i="42" s="1"/>
  <c r="AG995" i="42" s="1"/>
  <c r="AG996" i="42" s="1"/>
  <c r="AG997" i="42" s="1"/>
  <c r="AG998" i="42" s="1"/>
  <c r="AG999" i="42" s="1"/>
  <c r="AG1000" i="42" s="1"/>
  <c r="AG1001" i="42" s="1"/>
  <c r="AG1002" i="42" s="1"/>
  <c r="AG1003" i="42" s="1"/>
  <c r="A17" i="19" l="1"/>
  <c r="A17" i="3"/>
  <c r="C15" i="19" l="1"/>
  <c r="AB11" i="42" l="1"/>
  <c r="AC11" i="42" s="1"/>
  <c r="AB10" i="42"/>
  <c r="AC10" i="42" s="1"/>
  <c r="E9" i="43"/>
  <c r="E8" i="43"/>
  <c r="E7" i="43"/>
  <c r="E6" i="43"/>
  <c r="F6" i="43" l="1"/>
  <c r="AC7" i="42" l="1"/>
  <c r="Y19" i="42"/>
  <c r="Y20" i="42"/>
  <c r="Y21" i="42"/>
  <c r="Y22" i="42"/>
  <c r="Y23" i="42"/>
  <c r="Y24" i="42"/>
  <c r="Y17" i="42"/>
  <c r="AC4" i="42"/>
  <c r="AC5" i="42"/>
  <c r="AB12" i="42" l="1"/>
  <c r="AC12" i="42" s="1"/>
  <c r="AC13" i="42" s="1"/>
  <c r="A14" i="43" s="1"/>
  <c r="AB6" i="42"/>
  <c r="AC6" i="42" s="1"/>
  <c r="E5" i="43"/>
  <c r="E4" i="43"/>
  <c r="Y18" i="42"/>
  <c r="C7" i="19"/>
  <c r="AR21" i="19" s="1"/>
  <c r="C6" i="19"/>
  <c r="K17" i="19"/>
  <c r="F16" i="19"/>
  <c r="G16" i="19"/>
  <c r="K16" i="19"/>
  <c r="E16" i="19"/>
  <c r="J17" i="19"/>
  <c r="J16" i="19"/>
  <c r="I17" i="19"/>
  <c r="I16" i="19"/>
  <c r="H16" i="19"/>
  <c r="AC3" i="42"/>
  <c r="R224" i="41"/>
  <c r="R225" i="41"/>
  <c r="R226" i="41"/>
  <c r="R227" i="41"/>
  <c r="R228" i="41"/>
  <c r="R229" i="41"/>
  <c r="R230" i="41"/>
  <c r="R231" i="41"/>
  <c r="R232" i="41"/>
  <c r="R233" i="41"/>
  <c r="R234" i="41"/>
  <c r="R235" i="41"/>
  <c r="R236" i="41"/>
  <c r="R237" i="41"/>
  <c r="R238" i="41"/>
  <c r="R239" i="41"/>
  <c r="R240" i="41"/>
  <c r="R241" i="41"/>
  <c r="R242" i="41"/>
  <c r="R243" i="41"/>
  <c r="R244" i="41"/>
  <c r="R245" i="41"/>
  <c r="R246" i="41"/>
  <c r="R247" i="41"/>
  <c r="R248" i="41"/>
  <c r="R249" i="41"/>
  <c r="R250" i="41"/>
  <c r="R251" i="41"/>
  <c r="R252" i="41"/>
  <c r="R253" i="41"/>
  <c r="R254" i="41"/>
  <c r="R255" i="41"/>
  <c r="R256" i="41"/>
  <c r="R257" i="41"/>
  <c r="R258" i="41"/>
  <c r="R259" i="41"/>
  <c r="R260" i="41"/>
  <c r="R261" i="41"/>
  <c r="R262" i="41"/>
  <c r="R263" i="41"/>
  <c r="R264" i="41"/>
  <c r="R265" i="41"/>
  <c r="R266" i="41"/>
  <c r="R267" i="41"/>
  <c r="R268" i="41"/>
  <c r="R269" i="41"/>
  <c r="R270" i="41"/>
  <c r="R271" i="41"/>
  <c r="R272" i="41"/>
  <c r="R273" i="41"/>
  <c r="R274" i="41"/>
  <c r="R275" i="41"/>
  <c r="R276" i="41"/>
  <c r="R277" i="41"/>
  <c r="R278" i="41"/>
  <c r="R279" i="41"/>
  <c r="R280" i="41"/>
  <c r="R281" i="41"/>
  <c r="R282" i="41"/>
  <c r="R283" i="41"/>
  <c r="R284" i="41"/>
  <c r="R285" i="41"/>
  <c r="R286" i="41"/>
  <c r="R287" i="41"/>
  <c r="R288" i="41"/>
  <c r="R289" i="41"/>
  <c r="R290" i="41"/>
  <c r="R291" i="41"/>
  <c r="R292" i="41"/>
  <c r="R293" i="41"/>
  <c r="R294" i="41"/>
  <c r="R295" i="41"/>
  <c r="R296" i="41"/>
  <c r="R297" i="41"/>
  <c r="R298" i="41"/>
  <c r="R299" i="41"/>
  <c r="R300" i="41"/>
  <c r="R301" i="41"/>
  <c r="R302" i="41"/>
  <c r="R303" i="41"/>
  <c r="R304" i="41"/>
  <c r="R305" i="41"/>
  <c r="R306" i="41"/>
  <c r="R307" i="41"/>
  <c r="R308" i="41"/>
  <c r="R309" i="41"/>
  <c r="R310" i="41"/>
  <c r="R311" i="41"/>
  <c r="R312" i="41"/>
  <c r="R313" i="41"/>
  <c r="R314" i="41"/>
  <c r="R315" i="41"/>
  <c r="R316" i="41"/>
  <c r="R317" i="41"/>
  <c r="R318" i="41"/>
  <c r="R319" i="41"/>
  <c r="R320" i="41"/>
  <c r="R321" i="41"/>
  <c r="R322" i="41"/>
  <c r="R323" i="41"/>
  <c r="R324" i="41"/>
  <c r="R325" i="41"/>
  <c r="R326" i="41"/>
  <c r="R327" i="41"/>
  <c r="R328" i="41"/>
  <c r="R329" i="41"/>
  <c r="R330" i="41"/>
  <c r="R331" i="41"/>
  <c r="R332" i="41"/>
  <c r="R333" i="41"/>
  <c r="R334" i="41"/>
  <c r="R335" i="41"/>
  <c r="R336" i="41"/>
  <c r="R337" i="41"/>
  <c r="R338" i="41"/>
  <c r="R339" i="41"/>
  <c r="R340" i="41"/>
  <c r="R341" i="41"/>
  <c r="R342" i="41"/>
  <c r="R343" i="41"/>
  <c r="R344" i="41"/>
  <c r="R345" i="41"/>
  <c r="R346" i="41"/>
  <c r="R347" i="41"/>
  <c r="R348" i="41"/>
  <c r="R349" i="41"/>
  <c r="R350" i="41"/>
  <c r="R351" i="41"/>
  <c r="R352" i="41"/>
  <c r="R353" i="41"/>
  <c r="R354" i="41"/>
  <c r="R355" i="41"/>
  <c r="R356" i="41"/>
  <c r="R357" i="41"/>
  <c r="R358" i="41"/>
  <c r="R359" i="41"/>
  <c r="R360" i="41"/>
  <c r="R361" i="41"/>
  <c r="R362" i="41"/>
  <c r="R363" i="41"/>
  <c r="R364" i="41"/>
  <c r="R365" i="41"/>
  <c r="R366" i="41"/>
  <c r="R367" i="41"/>
  <c r="R368" i="41"/>
  <c r="R369" i="41"/>
  <c r="R370" i="41"/>
  <c r="R371" i="41"/>
  <c r="R372" i="41"/>
  <c r="R373" i="41"/>
  <c r="R374" i="41"/>
  <c r="R375" i="41"/>
  <c r="R376" i="41"/>
  <c r="R377" i="41"/>
  <c r="R378" i="41"/>
  <c r="R379" i="41"/>
  <c r="R380" i="41"/>
  <c r="R381" i="41"/>
  <c r="R382" i="41"/>
  <c r="R383" i="41"/>
  <c r="R384" i="41"/>
  <c r="R385" i="41"/>
  <c r="R386" i="41"/>
  <c r="R387" i="41"/>
  <c r="R388" i="41"/>
  <c r="R389" i="41"/>
  <c r="R390" i="41"/>
  <c r="R391" i="41"/>
  <c r="R392" i="41"/>
  <c r="R393" i="41"/>
  <c r="R394" i="41"/>
  <c r="R395" i="41"/>
  <c r="R396" i="41"/>
  <c r="R397" i="41"/>
  <c r="R398" i="41"/>
  <c r="R399" i="41"/>
  <c r="R400" i="41"/>
  <c r="R401" i="41"/>
  <c r="R402" i="41"/>
  <c r="R403" i="41"/>
  <c r="R404" i="41"/>
  <c r="R405" i="41"/>
  <c r="R406" i="41"/>
  <c r="R407" i="41"/>
  <c r="R408" i="41"/>
  <c r="R409" i="41"/>
  <c r="R410" i="41"/>
  <c r="R411" i="41"/>
  <c r="R412" i="41"/>
  <c r="R413" i="41"/>
  <c r="R414" i="41"/>
  <c r="R415" i="41"/>
  <c r="R416" i="41"/>
  <c r="R417" i="41"/>
  <c r="R418" i="41"/>
  <c r="R419" i="41"/>
  <c r="R420" i="41"/>
  <c r="R421" i="41"/>
  <c r="R422" i="41"/>
  <c r="R423" i="41"/>
  <c r="R424" i="41"/>
  <c r="R425" i="41"/>
  <c r="R426" i="41"/>
  <c r="R427" i="41"/>
  <c r="R428" i="41"/>
  <c r="R429" i="41"/>
  <c r="R430" i="41"/>
  <c r="R431" i="41"/>
  <c r="R432" i="41"/>
  <c r="R433" i="41"/>
  <c r="R434" i="41"/>
  <c r="R435" i="41"/>
  <c r="R436" i="41"/>
  <c r="R437" i="41"/>
  <c r="R438" i="41"/>
  <c r="R439" i="41"/>
  <c r="R440" i="41"/>
  <c r="R441" i="41"/>
  <c r="R442" i="41"/>
  <c r="R443" i="41"/>
  <c r="R444" i="41"/>
  <c r="R445" i="41"/>
  <c r="R446" i="41"/>
  <c r="R447" i="41"/>
  <c r="R448" i="41"/>
  <c r="R449" i="41"/>
  <c r="R450" i="41"/>
  <c r="R451" i="41"/>
  <c r="R452" i="41"/>
  <c r="R453" i="41"/>
  <c r="R454" i="41"/>
  <c r="R455" i="41"/>
  <c r="R456" i="41"/>
  <c r="R457" i="41"/>
  <c r="R458" i="41"/>
  <c r="R459" i="41"/>
  <c r="R460" i="41"/>
  <c r="R461" i="41"/>
  <c r="R462" i="41"/>
  <c r="R463" i="41"/>
  <c r="R464" i="41"/>
  <c r="R465" i="41"/>
  <c r="R466" i="41"/>
  <c r="R467" i="41"/>
  <c r="R468" i="41"/>
  <c r="R469" i="41"/>
  <c r="R470" i="41"/>
  <c r="R471" i="41"/>
  <c r="R472" i="41"/>
  <c r="R473" i="41"/>
  <c r="R474" i="41"/>
  <c r="R475" i="41"/>
  <c r="R476" i="41"/>
  <c r="R477" i="41"/>
  <c r="R478" i="41"/>
  <c r="R479" i="41"/>
  <c r="R480" i="41"/>
  <c r="R481" i="41"/>
  <c r="R482" i="41"/>
  <c r="R483" i="41"/>
  <c r="R484" i="41"/>
  <c r="R485" i="41"/>
  <c r="R486" i="41"/>
  <c r="R487" i="41"/>
  <c r="R488" i="41"/>
  <c r="R489" i="41"/>
  <c r="R490" i="41"/>
  <c r="R491" i="41"/>
  <c r="R492" i="41"/>
  <c r="R493" i="41"/>
  <c r="R494" i="41"/>
  <c r="R495" i="41"/>
  <c r="R496" i="41"/>
  <c r="R497" i="41"/>
  <c r="R498" i="41"/>
  <c r="R499" i="41"/>
  <c r="R500" i="41"/>
  <c r="R501" i="41"/>
  <c r="R502" i="41"/>
  <c r="R503" i="41"/>
  <c r="R504" i="41"/>
  <c r="R505" i="41"/>
  <c r="R506" i="41"/>
  <c r="R507" i="41"/>
  <c r="R508" i="41"/>
  <c r="R509" i="41"/>
  <c r="R510" i="41"/>
  <c r="R511" i="41"/>
  <c r="R512" i="41"/>
  <c r="R513" i="41"/>
  <c r="R514" i="41"/>
  <c r="R515" i="41"/>
  <c r="R516" i="41"/>
  <c r="R517" i="41"/>
  <c r="R518" i="41"/>
  <c r="R519" i="41"/>
  <c r="R520" i="41"/>
  <c r="R521" i="41"/>
  <c r="R522" i="41"/>
  <c r="R523" i="41"/>
  <c r="R524" i="41"/>
  <c r="R525" i="41"/>
  <c r="R526" i="41"/>
  <c r="R527" i="41"/>
  <c r="R528" i="41"/>
  <c r="R529" i="41"/>
  <c r="R530" i="41"/>
  <c r="R531" i="41"/>
  <c r="R532" i="41"/>
  <c r="R533" i="41"/>
  <c r="R534" i="41"/>
  <c r="R535" i="41"/>
  <c r="R536" i="41"/>
  <c r="R537" i="41"/>
  <c r="R538" i="41"/>
  <c r="R539" i="41"/>
  <c r="R540" i="41"/>
  <c r="R541" i="41"/>
  <c r="R542" i="41"/>
  <c r="R543" i="41"/>
  <c r="R544" i="41"/>
  <c r="R545" i="41"/>
  <c r="R546" i="41"/>
  <c r="R547" i="41"/>
  <c r="R548" i="41"/>
  <c r="R549" i="41"/>
  <c r="R550" i="41"/>
  <c r="R551" i="41"/>
  <c r="R552" i="41"/>
  <c r="R553" i="41"/>
  <c r="R554" i="41"/>
  <c r="R555" i="41"/>
  <c r="R556" i="41"/>
  <c r="R557" i="41"/>
  <c r="R558" i="41"/>
  <c r="R559" i="41"/>
  <c r="R560" i="41"/>
  <c r="R561" i="41"/>
  <c r="R562" i="41"/>
  <c r="R563" i="41"/>
  <c r="R564" i="41"/>
  <c r="R565" i="41"/>
  <c r="R566" i="41"/>
  <c r="R567" i="41"/>
  <c r="R568" i="41"/>
  <c r="R569" i="41"/>
  <c r="R570" i="41"/>
  <c r="R571" i="41"/>
  <c r="R572" i="41"/>
  <c r="R573" i="41"/>
  <c r="R574" i="41"/>
  <c r="R575" i="41"/>
  <c r="R576" i="41"/>
  <c r="R577" i="41"/>
  <c r="R578" i="41"/>
  <c r="R579" i="41"/>
  <c r="R580" i="41"/>
  <c r="R581" i="41"/>
  <c r="R582" i="41"/>
  <c r="R583" i="41"/>
  <c r="R584" i="41"/>
  <c r="R585" i="41"/>
  <c r="R586" i="41"/>
  <c r="R587" i="41"/>
  <c r="R588" i="41"/>
  <c r="R589" i="41"/>
  <c r="R590" i="41"/>
  <c r="R591" i="41"/>
  <c r="Y18" i="40"/>
  <c r="Y19" i="40"/>
  <c r="Y20" i="40"/>
  <c r="Y21" i="40"/>
  <c r="Y22" i="40"/>
  <c r="Y23" i="40"/>
  <c r="Y24" i="40"/>
  <c r="Y17" i="40"/>
  <c r="P224" i="41"/>
  <c r="P225" i="41"/>
  <c r="P226" i="41"/>
  <c r="P227" i="41"/>
  <c r="P228" i="41"/>
  <c r="P229" i="41"/>
  <c r="P230" i="41"/>
  <c r="P231" i="41"/>
  <c r="P232" i="41"/>
  <c r="P233" i="41"/>
  <c r="P234" i="41"/>
  <c r="P235" i="41"/>
  <c r="P236" i="41"/>
  <c r="P237" i="41"/>
  <c r="P238" i="41"/>
  <c r="P239" i="41"/>
  <c r="P240" i="41"/>
  <c r="P241" i="41"/>
  <c r="P242" i="41"/>
  <c r="P243" i="41"/>
  <c r="P244" i="41"/>
  <c r="P245" i="41"/>
  <c r="P246" i="41"/>
  <c r="P247" i="41"/>
  <c r="P248" i="41"/>
  <c r="P249" i="41"/>
  <c r="P250" i="41"/>
  <c r="P251" i="41"/>
  <c r="P252" i="41"/>
  <c r="P253" i="41"/>
  <c r="P254" i="41"/>
  <c r="P255" i="41"/>
  <c r="P256" i="41"/>
  <c r="P257" i="41"/>
  <c r="P258" i="41"/>
  <c r="P259" i="41"/>
  <c r="P260" i="41"/>
  <c r="P261" i="41"/>
  <c r="P262" i="41"/>
  <c r="P263" i="41"/>
  <c r="P264" i="41"/>
  <c r="P265" i="41"/>
  <c r="P266" i="41"/>
  <c r="P267" i="41"/>
  <c r="P268" i="41"/>
  <c r="P269" i="41"/>
  <c r="P270" i="41"/>
  <c r="P271" i="41"/>
  <c r="P272" i="41"/>
  <c r="P273" i="41"/>
  <c r="P274" i="41"/>
  <c r="P275" i="41"/>
  <c r="P276" i="41"/>
  <c r="P277" i="41"/>
  <c r="P278" i="41"/>
  <c r="P279" i="41"/>
  <c r="P280" i="41"/>
  <c r="P281" i="41"/>
  <c r="P282" i="41"/>
  <c r="P283" i="41"/>
  <c r="P284" i="41"/>
  <c r="P285" i="41"/>
  <c r="P286" i="41"/>
  <c r="P287" i="41"/>
  <c r="P288" i="41"/>
  <c r="P289" i="41"/>
  <c r="P290" i="41"/>
  <c r="P291" i="41"/>
  <c r="P292" i="41"/>
  <c r="P293" i="41"/>
  <c r="P294" i="41"/>
  <c r="P295" i="41"/>
  <c r="P296" i="41"/>
  <c r="P297" i="41"/>
  <c r="P298" i="41"/>
  <c r="P299" i="41"/>
  <c r="P300" i="41"/>
  <c r="P301" i="41"/>
  <c r="P302" i="41"/>
  <c r="P303" i="41"/>
  <c r="P304" i="41"/>
  <c r="P305" i="41"/>
  <c r="P306" i="41"/>
  <c r="P307" i="41"/>
  <c r="P308" i="41"/>
  <c r="P309" i="41"/>
  <c r="P310" i="41"/>
  <c r="P311" i="41"/>
  <c r="P312" i="41"/>
  <c r="P313" i="41"/>
  <c r="P314" i="41"/>
  <c r="P315" i="41"/>
  <c r="P316" i="41"/>
  <c r="P317" i="41"/>
  <c r="P318" i="41"/>
  <c r="P319" i="41"/>
  <c r="P320" i="41"/>
  <c r="P321" i="41"/>
  <c r="P322" i="41"/>
  <c r="P323" i="41"/>
  <c r="P324" i="41"/>
  <c r="P325" i="41"/>
  <c r="P326" i="41"/>
  <c r="P327" i="41"/>
  <c r="P328" i="41"/>
  <c r="P329" i="41"/>
  <c r="P330" i="41"/>
  <c r="P331" i="41"/>
  <c r="P332" i="41"/>
  <c r="P333" i="41"/>
  <c r="P334" i="41"/>
  <c r="P335" i="41"/>
  <c r="P336" i="41"/>
  <c r="P337" i="41"/>
  <c r="P338" i="41"/>
  <c r="P339" i="41"/>
  <c r="P340" i="41"/>
  <c r="P341" i="41"/>
  <c r="P342" i="41"/>
  <c r="P343" i="41"/>
  <c r="P344" i="41"/>
  <c r="P345" i="41"/>
  <c r="P346" i="41"/>
  <c r="P347" i="41"/>
  <c r="P348" i="41"/>
  <c r="P349" i="41"/>
  <c r="P350" i="41"/>
  <c r="P351" i="41"/>
  <c r="P352" i="41"/>
  <c r="P353" i="41"/>
  <c r="P354" i="41"/>
  <c r="P355" i="41"/>
  <c r="P356" i="41"/>
  <c r="P357" i="41"/>
  <c r="P358" i="41"/>
  <c r="P359" i="41"/>
  <c r="P360" i="41"/>
  <c r="P361" i="41"/>
  <c r="P362" i="41"/>
  <c r="P363" i="41"/>
  <c r="P364" i="41"/>
  <c r="P365" i="41"/>
  <c r="P366" i="41"/>
  <c r="P367" i="41"/>
  <c r="P368" i="41"/>
  <c r="P369" i="41"/>
  <c r="P370" i="41"/>
  <c r="P371" i="41"/>
  <c r="P372" i="41"/>
  <c r="P373" i="41"/>
  <c r="P374" i="41"/>
  <c r="P375" i="41"/>
  <c r="P376" i="41"/>
  <c r="P377" i="41"/>
  <c r="P378" i="41"/>
  <c r="P379" i="41"/>
  <c r="P380" i="41"/>
  <c r="P381" i="41"/>
  <c r="P382" i="41"/>
  <c r="P383" i="41"/>
  <c r="P384" i="41"/>
  <c r="P385" i="41"/>
  <c r="P386" i="41"/>
  <c r="P387" i="41"/>
  <c r="P388" i="41"/>
  <c r="P389" i="41"/>
  <c r="P390" i="41"/>
  <c r="P391" i="41"/>
  <c r="P392" i="41"/>
  <c r="P393" i="41"/>
  <c r="P394" i="41"/>
  <c r="P395" i="41"/>
  <c r="P396" i="41"/>
  <c r="P397" i="41"/>
  <c r="P398" i="41"/>
  <c r="P399" i="41"/>
  <c r="P400" i="41"/>
  <c r="P401" i="41"/>
  <c r="P402" i="41"/>
  <c r="P403" i="41"/>
  <c r="P404" i="41"/>
  <c r="P405" i="41"/>
  <c r="P406" i="41"/>
  <c r="P407" i="41"/>
  <c r="P408" i="41"/>
  <c r="P409" i="41"/>
  <c r="P410" i="41"/>
  <c r="P411" i="41"/>
  <c r="P412" i="41"/>
  <c r="P413" i="41"/>
  <c r="P414" i="41"/>
  <c r="P415" i="41"/>
  <c r="P416" i="41"/>
  <c r="P417" i="41"/>
  <c r="P418" i="41"/>
  <c r="P419" i="41"/>
  <c r="P420" i="41"/>
  <c r="P421" i="41"/>
  <c r="P422" i="41"/>
  <c r="P423" i="41"/>
  <c r="P424" i="41"/>
  <c r="P425" i="41"/>
  <c r="P426" i="41"/>
  <c r="P427" i="41"/>
  <c r="P428" i="41"/>
  <c r="P429" i="41"/>
  <c r="P430" i="41"/>
  <c r="P431" i="41"/>
  <c r="P432" i="41"/>
  <c r="P433" i="41"/>
  <c r="P434" i="41"/>
  <c r="P435" i="41"/>
  <c r="P436" i="41"/>
  <c r="P437" i="41"/>
  <c r="P438" i="41"/>
  <c r="P439" i="41"/>
  <c r="P440" i="41"/>
  <c r="P441" i="41"/>
  <c r="P442" i="41"/>
  <c r="P443" i="41"/>
  <c r="P444" i="41"/>
  <c r="P445" i="41"/>
  <c r="P446" i="41"/>
  <c r="P447" i="41"/>
  <c r="P448" i="41"/>
  <c r="P449" i="41"/>
  <c r="P450" i="41"/>
  <c r="P451" i="41"/>
  <c r="P452" i="41"/>
  <c r="P453" i="41"/>
  <c r="P454" i="41"/>
  <c r="P455" i="41"/>
  <c r="P456" i="41"/>
  <c r="P457" i="41"/>
  <c r="P458" i="41"/>
  <c r="P459" i="41"/>
  <c r="P460" i="41"/>
  <c r="P461" i="41"/>
  <c r="P462" i="41"/>
  <c r="P463" i="41"/>
  <c r="P464" i="41"/>
  <c r="P465" i="41"/>
  <c r="P466" i="41"/>
  <c r="P467" i="41"/>
  <c r="P468" i="41"/>
  <c r="P469" i="41"/>
  <c r="P470" i="41"/>
  <c r="P471" i="41"/>
  <c r="P472" i="41"/>
  <c r="P473" i="41"/>
  <c r="P474" i="41"/>
  <c r="P475" i="41"/>
  <c r="P476" i="41"/>
  <c r="P477" i="41"/>
  <c r="P478" i="41"/>
  <c r="P479" i="41"/>
  <c r="P480" i="41"/>
  <c r="P481" i="41"/>
  <c r="P482" i="41"/>
  <c r="P483" i="41"/>
  <c r="P484" i="41"/>
  <c r="P485" i="41"/>
  <c r="P486" i="41"/>
  <c r="P487" i="41"/>
  <c r="P488" i="41"/>
  <c r="P489" i="41"/>
  <c r="P490" i="41"/>
  <c r="P491" i="41"/>
  <c r="P492" i="41"/>
  <c r="P493" i="41"/>
  <c r="P494" i="41"/>
  <c r="P495" i="41"/>
  <c r="P496" i="41"/>
  <c r="P497" i="41"/>
  <c r="P498" i="41"/>
  <c r="P499" i="41"/>
  <c r="P500" i="41"/>
  <c r="P501" i="41"/>
  <c r="P502" i="41"/>
  <c r="P503" i="41"/>
  <c r="P504" i="41"/>
  <c r="P505" i="41"/>
  <c r="P506" i="41"/>
  <c r="P507" i="41"/>
  <c r="P508" i="41"/>
  <c r="P509" i="41"/>
  <c r="P510" i="41"/>
  <c r="P511" i="41"/>
  <c r="P512" i="41"/>
  <c r="P513" i="41"/>
  <c r="P514" i="41"/>
  <c r="P515" i="41"/>
  <c r="P516" i="41"/>
  <c r="P517" i="41"/>
  <c r="P518" i="41"/>
  <c r="P519" i="41"/>
  <c r="P520" i="41"/>
  <c r="P521" i="41"/>
  <c r="P522" i="41"/>
  <c r="P523" i="41"/>
  <c r="P524" i="41"/>
  <c r="P525" i="41"/>
  <c r="P526" i="41"/>
  <c r="P527" i="41"/>
  <c r="P528" i="41"/>
  <c r="P529" i="41"/>
  <c r="P530" i="41"/>
  <c r="P531" i="41"/>
  <c r="P532" i="41"/>
  <c r="P533" i="41"/>
  <c r="P534" i="41"/>
  <c r="P535" i="41"/>
  <c r="P536" i="41"/>
  <c r="P537" i="41"/>
  <c r="P538" i="41"/>
  <c r="P539" i="41"/>
  <c r="P540" i="41"/>
  <c r="P541" i="41"/>
  <c r="P542" i="41"/>
  <c r="P543" i="41"/>
  <c r="P544" i="41"/>
  <c r="P545" i="41"/>
  <c r="P546" i="41"/>
  <c r="P547" i="41"/>
  <c r="P548" i="41"/>
  <c r="P549" i="41"/>
  <c r="P550" i="41"/>
  <c r="P551" i="41"/>
  <c r="P552" i="41"/>
  <c r="P553" i="41"/>
  <c r="P554" i="41"/>
  <c r="P555" i="41"/>
  <c r="P556" i="41"/>
  <c r="P557" i="41"/>
  <c r="P558" i="41"/>
  <c r="P559" i="41"/>
  <c r="P560" i="41"/>
  <c r="P561" i="41"/>
  <c r="P562" i="41"/>
  <c r="P563" i="41"/>
  <c r="P564" i="41"/>
  <c r="P565" i="41"/>
  <c r="P566" i="41"/>
  <c r="P567" i="41"/>
  <c r="P568" i="41"/>
  <c r="P569" i="41"/>
  <c r="P570" i="41"/>
  <c r="P571" i="41"/>
  <c r="P572" i="41"/>
  <c r="P573" i="41"/>
  <c r="P574" i="41"/>
  <c r="P575" i="41"/>
  <c r="P576" i="41"/>
  <c r="P577" i="41"/>
  <c r="P578" i="41"/>
  <c r="P579" i="41"/>
  <c r="P580" i="41"/>
  <c r="P581" i="41"/>
  <c r="P582" i="41"/>
  <c r="P583" i="41"/>
  <c r="P584" i="41"/>
  <c r="P585" i="41"/>
  <c r="P586" i="41"/>
  <c r="P587" i="41"/>
  <c r="P588" i="41"/>
  <c r="P589" i="41"/>
  <c r="P590" i="41"/>
  <c r="P591" i="41"/>
  <c r="P592" i="41"/>
  <c r="P593" i="41"/>
  <c r="P594" i="41"/>
  <c r="P595" i="41"/>
  <c r="P596" i="41"/>
  <c r="P597" i="41"/>
  <c r="P598" i="41"/>
  <c r="P599" i="41"/>
  <c r="P600" i="41"/>
  <c r="P601" i="41"/>
  <c r="P602" i="41"/>
  <c r="P603" i="41"/>
  <c r="P604" i="41"/>
  <c r="P605" i="41"/>
  <c r="P606" i="41"/>
  <c r="P607" i="41"/>
  <c r="P608" i="41"/>
  <c r="P609" i="41"/>
  <c r="P610" i="41"/>
  <c r="P611" i="41"/>
  <c r="P612" i="41"/>
  <c r="P613" i="41"/>
  <c r="P614" i="41"/>
  <c r="P615" i="41"/>
  <c r="P616" i="41"/>
  <c r="P617" i="41"/>
  <c r="P618" i="41"/>
  <c r="P619" i="41"/>
  <c r="P620" i="41"/>
  <c r="P621" i="41"/>
  <c r="P622" i="41"/>
  <c r="P623" i="41"/>
  <c r="P624" i="41"/>
  <c r="P625" i="41"/>
  <c r="P626" i="41"/>
  <c r="P627" i="41"/>
  <c r="P628" i="41"/>
  <c r="P629" i="41"/>
  <c r="P630" i="41"/>
  <c r="P631" i="41"/>
  <c r="P632" i="41"/>
  <c r="P633" i="41"/>
  <c r="P634" i="41"/>
  <c r="P635" i="41"/>
  <c r="P636" i="41"/>
  <c r="P637" i="41"/>
  <c r="P638" i="41"/>
  <c r="P639" i="41"/>
  <c r="P640" i="41"/>
  <c r="P641" i="41"/>
  <c r="P642" i="41"/>
  <c r="P643" i="41"/>
  <c r="P644" i="41"/>
  <c r="P645" i="41"/>
  <c r="P646" i="41"/>
  <c r="P647" i="41"/>
  <c r="P648" i="41"/>
  <c r="P649" i="41"/>
  <c r="P650" i="41"/>
  <c r="P651" i="41"/>
  <c r="P652" i="41"/>
  <c r="P653" i="41"/>
  <c r="P654" i="41"/>
  <c r="P655" i="41"/>
  <c r="P656" i="41"/>
  <c r="P657" i="41"/>
  <c r="P658" i="41"/>
  <c r="P659" i="41"/>
  <c r="P660" i="41"/>
  <c r="P661" i="41"/>
  <c r="P662" i="41"/>
  <c r="P663" i="41"/>
  <c r="P664" i="41"/>
  <c r="P665" i="41"/>
  <c r="P666" i="41"/>
  <c r="P667" i="41"/>
  <c r="P668" i="41"/>
  <c r="P669" i="41"/>
  <c r="P670" i="41"/>
  <c r="P671" i="41"/>
  <c r="P672" i="41"/>
  <c r="P673" i="41"/>
  <c r="P674" i="41"/>
  <c r="P675" i="41"/>
  <c r="P676" i="41"/>
  <c r="P677" i="41"/>
  <c r="P678" i="41"/>
  <c r="P679" i="41"/>
  <c r="P680" i="41"/>
  <c r="P681" i="41"/>
  <c r="P682" i="41"/>
  <c r="P683" i="41"/>
  <c r="P684" i="41"/>
  <c r="P685" i="41"/>
  <c r="P686" i="41"/>
  <c r="P687" i="41"/>
  <c r="P688" i="41"/>
  <c r="P689" i="41"/>
  <c r="P690" i="41"/>
  <c r="P691" i="41"/>
  <c r="P692" i="41"/>
  <c r="P693" i="41"/>
  <c r="P694" i="41"/>
  <c r="P695" i="41"/>
  <c r="P696" i="41"/>
  <c r="P697" i="41"/>
  <c r="P698" i="41"/>
  <c r="P699" i="41"/>
  <c r="P700" i="41"/>
  <c r="P701" i="41"/>
  <c r="P702" i="41"/>
  <c r="P703" i="41"/>
  <c r="P704" i="41"/>
  <c r="P705" i="41"/>
  <c r="P706" i="41"/>
  <c r="P707" i="41"/>
  <c r="P708" i="41"/>
  <c r="P709" i="41"/>
  <c r="P710" i="41"/>
  <c r="P711" i="41"/>
  <c r="P712" i="41"/>
  <c r="P713" i="41"/>
  <c r="P714" i="41"/>
  <c r="P715" i="41"/>
  <c r="P716" i="41"/>
  <c r="P717" i="41"/>
  <c r="P718" i="41"/>
  <c r="P719" i="41"/>
  <c r="P720" i="41"/>
  <c r="P721" i="41"/>
  <c r="P722" i="41"/>
  <c r="P723" i="41"/>
  <c r="P724" i="41"/>
  <c r="P725" i="41"/>
  <c r="P726" i="41"/>
  <c r="P727" i="41"/>
  <c r="P728" i="41"/>
  <c r="P729" i="41"/>
  <c r="P730" i="41"/>
  <c r="P731" i="41"/>
  <c r="P732" i="41"/>
  <c r="P733" i="41"/>
  <c r="P734" i="41"/>
  <c r="P735" i="41"/>
  <c r="P736" i="41"/>
  <c r="P737" i="41"/>
  <c r="P738" i="41"/>
  <c r="P739" i="41"/>
  <c r="P740" i="41"/>
  <c r="P741" i="41"/>
  <c r="P742" i="41"/>
  <c r="P743" i="41"/>
  <c r="P744" i="41"/>
  <c r="P745" i="41"/>
  <c r="P746" i="41"/>
  <c r="P747" i="41"/>
  <c r="P748" i="41"/>
  <c r="P749" i="41"/>
  <c r="P750" i="41"/>
  <c r="P751" i="41"/>
  <c r="P752" i="41"/>
  <c r="P753" i="41"/>
  <c r="P754" i="41"/>
  <c r="P755" i="41"/>
  <c r="P756" i="41"/>
  <c r="P757" i="41"/>
  <c r="P758" i="41"/>
  <c r="P759" i="41"/>
  <c r="P760" i="41"/>
  <c r="A15" i="43" l="1"/>
  <c r="D14" i="43"/>
  <c r="E14" i="43"/>
  <c r="S14" i="43" s="1"/>
  <c r="T14" i="43" s="1"/>
  <c r="C14" i="43"/>
  <c r="C18" i="19" s="1"/>
  <c r="H7" i="19" s="1"/>
  <c r="Q14" i="43"/>
  <c r="R14" i="43" s="1"/>
  <c r="AN17" i="3"/>
  <c r="C15" i="3"/>
  <c r="E15" i="43" l="1"/>
  <c r="D15" i="43"/>
  <c r="W14" i="43"/>
  <c r="K18" i="19" s="1"/>
  <c r="A18" i="19"/>
  <c r="D18" i="19"/>
  <c r="G14" i="43"/>
  <c r="F14" i="43"/>
  <c r="J14" i="43"/>
  <c r="I355" i="3"/>
  <c r="I356" i="3"/>
  <c r="I357" i="3"/>
  <c r="I359" i="3"/>
  <c r="I360" i="3"/>
  <c r="I361" i="3"/>
  <c r="I362" i="3"/>
  <c r="I363" i="3"/>
  <c r="I364" i="3"/>
  <c r="I365" i="3"/>
  <c r="H356" i="3"/>
  <c r="H357" i="3"/>
  <c r="H358" i="3"/>
  <c r="H360" i="3"/>
  <c r="H361" i="3"/>
  <c r="H362" i="3"/>
  <c r="H363" i="3"/>
  <c r="H364" i="3"/>
  <c r="H365" i="3"/>
  <c r="I14" i="43" l="1"/>
  <c r="L14" i="43" s="1"/>
  <c r="C7" i="3"/>
  <c r="AQ21" i="3" s="1"/>
  <c r="H14" i="43" l="1"/>
  <c r="C6" i="3"/>
  <c r="K17" i="3"/>
  <c r="K16" i="3"/>
  <c r="J17" i="3"/>
  <c r="J16" i="3"/>
  <c r="I17" i="3"/>
  <c r="I16" i="3"/>
  <c r="H16" i="3"/>
  <c r="F16" i="3"/>
  <c r="G16" i="3"/>
  <c r="E16" i="3"/>
  <c r="G356" i="3"/>
  <c r="G357" i="3"/>
  <c r="G358" i="3"/>
  <c r="G360" i="3"/>
  <c r="G361" i="3"/>
  <c r="G362" i="3"/>
  <c r="G363" i="3"/>
  <c r="G364" i="3"/>
  <c r="G365" i="3"/>
  <c r="F356" i="3"/>
  <c r="F357" i="3"/>
  <c r="F358" i="3"/>
  <c r="F360" i="3"/>
  <c r="F361" i="3"/>
  <c r="F362" i="3"/>
  <c r="F363" i="3"/>
  <c r="F364" i="3"/>
  <c r="F365" i="3"/>
  <c r="E356" i="3"/>
  <c r="E357" i="3"/>
  <c r="D355" i="3"/>
  <c r="D356" i="3"/>
  <c r="D357" i="3"/>
  <c r="D359" i="3"/>
  <c r="D360" i="3"/>
  <c r="D361" i="3"/>
  <c r="D362" i="3"/>
  <c r="D363" i="3"/>
  <c r="D364" i="3"/>
  <c r="D365" i="3"/>
  <c r="E5" i="41" l="1"/>
  <c r="E4" i="41"/>
  <c r="W770" i="41"/>
  <c r="W769" i="41"/>
  <c r="W768" i="41"/>
  <c r="W767" i="41"/>
  <c r="W766" i="41"/>
  <c r="W765" i="41"/>
  <c r="W764" i="41"/>
  <c r="W763" i="41"/>
  <c r="W762" i="41"/>
  <c r="W761" i="41"/>
  <c r="W760" i="41"/>
  <c r="W759" i="41"/>
  <c r="W758" i="41"/>
  <c r="W757" i="41"/>
  <c r="W756" i="41"/>
  <c r="W755" i="41"/>
  <c r="W754" i="41"/>
  <c r="W753" i="41"/>
  <c r="W752" i="41"/>
  <c r="W751" i="41"/>
  <c r="W750" i="41"/>
  <c r="J750" i="41"/>
  <c r="W749" i="41"/>
  <c r="J749" i="41"/>
  <c r="W748" i="41"/>
  <c r="J748" i="41"/>
  <c r="W747" i="41"/>
  <c r="J747" i="41"/>
  <c r="W746" i="41"/>
  <c r="J746" i="41"/>
  <c r="W745" i="41"/>
  <c r="J745" i="41"/>
  <c r="W744" i="41"/>
  <c r="J744" i="41"/>
  <c r="W743" i="41"/>
  <c r="J743" i="41"/>
  <c r="W742" i="41"/>
  <c r="J742" i="41"/>
  <c r="W741" i="41"/>
  <c r="J741" i="41"/>
  <c r="W740" i="41"/>
  <c r="J740" i="41"/>
  <c r="W739" i="41"/>
  <c r="J739" i="41"/>
  <c r="W738" i="41"/>
  <c r="J738" i="41"/>
  <c r="W737" i="41"/>
  <c r="J737" i="41"/>
  <c r="W736" i="41"/>
  <c r="J736" i="41"/>
  <c r="W735" i="41"/>
  <c r="J735" i="41"/>
  <c r="W734" i="41"/>
  <c r="J734" i="41"/>
  <c r="W733" i="41"/>
  <c r="J733" i="41"/>
  <c r="W732" i="41"/>
  <c r="J732" i="41"/>
  <c r="W731" i="41"/>
  <c r="J731" i="41"/>
  <c r="W730" i="41"/>
  <c r="J730" i="41"/>
  <c r="W729" i="41"/>
  <c r="J729" i="41"/>
  <c r="W728" i="41"/>
  <c r="J728" i="41"/>
  <c r="W727" i="41"/>
  <c r="J727" i="41"/>
  <c r="W726" i="41"/>
  <c r="J726" i="41"/>
  <c r="W725" i="41"/>
  <c r="J725" i="41"/>
  <c r="W724" i="41"/>
  <c r="J724" i="41"/>
  <c r="W723" i="41"/>
  <c r="J723" i="41"/>
  <c r="W722" i="41"/>
  <c r="J722" i="41"/>
  <c r="W721" i="41"/>
  <c r="J721" i="41"/>
  <c r="W720" i="41"/>
  <c r="J720" i="41"/>
  <c r="W719" i="41"/>
  <c r="J719" i="41"/>
  <c r="W718" i="41"/>
  <c r="J718" i="41"/>
  <c r="W717" i="41"/>
  <c r="J717" i="41"/>
  <c r="W716" i="41"/>
  <c r="J716" i="41"/>
  <c r="W715" i="41"/>
  <c r="J715" i="41"/>
  <c r="W714" i="41"/>
  <c r="J714" i="41"/>
  <c r="W713" i="41"/>
  <c r="J713" i="41"/>
  <c r="W712" i="41"/>
  <c r="J712" i="41"/>
  <c r="W711" i="41"/>
  <c r="J711" i="41"/>
  <c r="W710" i="41"/>
  <c r="J710" i="41"/>
  <c r="W709" i="41"/>
  <c r="J709" i="41"/>
  <c r="W708" i="41"/>
  <c r="J708" i="41"/>
  <c r="W707" i="41"/>
  <c r="J707" i="41"/>
  <c r="W706" i="41"/>
  <c r="J706" i="41"/>
  <c r="W705" i="41"/>
  <c r="J705" i="41"/>
  <c r="W704" i="41"/>
  <c r="J704" i="41"/>
  <c r="W703" i="41"/>
  <c r="J703" i="41"/>
  <c r="W702" i="41"/>
  <c r="J702" i="41"/>
  <c r="W701" i="41"/>
  <c r="J701" i="41"/>
  <c r="W700" i="41"/>
  <c r="J700" i="41"/>
  <c r="W699" i="41"/>
  <c r="J699" i="41"/>
  <c r="W698" i="41"/>
  <c r="J698" i="41"/>
  <c r="W697" i="41"/>
  <c r="J697" i="41"/>
  <c r="W696" i="41"/>
  <c r="J696" i="41"/>
  <c r="W695" i="41"/>
  <c r="J695" i="41"/>
  <c r="W694" i="41"/>
  <c r="J694" i="41"/>
  <c r="W693" i="41"/>
  <c r="J693" i="41"/>
  <c r="W692" i="41"/>
  <c r="J692" i="41"/>
  <c r="W691" i="41"/>
  <c r="J691" i="41"/>
  <c r="W690" i="41"/>
  <c r="J690" i="41"/>
  <c r="W689" i="41"/>
  <c r="J689" i="41"/>
  <c r="W688" i="41"/>
  <c r="J688" i="41"/>
  <c r="W687" i="41"/>
  <c r="J687" i="41"/>
  <c r="W686" i="41"/>
  <c r="J686" i="41"/>
  <c r="W685" i="41"/>
  <c r="J685" i="41"/>
  <c r="W684" i="41"/>
  <c r="J684" i="41"/>
  <c r="W683" i="41"/>
  <c r="J683" i="41"/>
  <c r="W682" i="41"/>
  <c r="J682" i="41"/>
  <c r="W681" i="41"/>
  <c r="J681" i="41"/>
  <c r="W680" i="41"/>
  <c r="J680" i="41"/>
  <c r="W679" i="41"/>
  <c r="J679" i="41"/>
  <c r="W678" i="41"/>
  <c r="J678" i="41"/>
  <c r="W677" i="41"/>
  <c r="J677" i="41"/>
  <c r="W676" i="41"/>
  <c r="J676" i="41"/>
  <c r="W675" i="41"/>
  <c r="J675" i="41"/>
  <c r="W674" i="41"/>
  <c r="J674" i="41"/>
  <c r="W673" i="41"/>
  <c r="J673" i="41"/>
  <c r="W672" i="41"/>
  <c r="J672" i="41"/>
  <c r="W671" i="41"/>
  <c r="J671" i="41"/>
  <c r="W670" i="41"/>
  <c r="J670" i="41"/>
  <c r="W669" i="41"/>
  <c r="J669" i="41"/>
  <c r="W668" i="41"/>
  <c r="J668" i="41"/>
  <c r="W667" i="41"/>
  <c r="J667" i="41"/>
  <c r="W666" i="41"/>
  <c r="J666" i="41"/>
  <c r="W665" i="41"/>
  <c r="J665" i="41"/>
  <c r="W664" i="41"/>
  <c r="J664" i="41"/>
  <c r="W663" i="41"/>
  <c r="J663" i="41"/>
  <c r="W662" i="41"/>
  <c r="J662" i="41"/>
  <c r="W661" i="41"/>
  <c r="J661" i="41"/>
  <c r="W660" i="41"/>
  <c r="J660" i="41"/>
  <c r="W659" i="41"/>
  <c r="J659" i="41"/>
  <c r="W658" i="41"/>
  <c r="J658" i="41"/>
  <c r="W657" i="41"/>
  <c r="J657" i="41"/>
  <c r="W656" i="41"/>
  <c r="J656" i="41"/>
  <c r="W655" i="41"/>
  <c r="J655" i="41"/>
  <c r="W654" i="41"/>
  <c r="J654" i="41"/>
  <c r="W653" i="41"/>
  <c r="J653" i="41"/>
  <c r="W652" i="41"/>
  <c r="J652" i="41"/>
  <c r="W651" i="41"/>
  <c r="J651" i="41"/>
  <c r="W650" i="41"/>
  <c r="J650" i="41"/>
  <c r="W649" i="41"/>
  <c r="J649" i="41"/>
  <c r="W648" i="41"/>
  <c r="J648" i="41"/>
  <c r="W647" i="41"/>
  <c r="J647" i="41"/>
  <c r="W646" i="41"/>
  <c r="J646" i="41"/>
  <c r="W645" i="41"/>
  <c r="J645" i="41"/>
  <c r="W644" i="41"/>
  <c r="J644" i="41"/>
  <c r="W643" i="41"/>
  <c r="J643" i="41"/>
  <c r="W642" i="41"/>
  <c r="J642" i="41"/>
  <c r="W641" i="41"/>
  <c r="J641" i="41"/>
  <c r="W640" i="41"/>
  <c r="J640" i="41"/>
  <c r="W639" i="41"/>
  <c r="J639" i="41"/>
  <c r="W638" i="41"/>
  <c r="J638" i="41"/>
  <c r="W637" i="41"/>
  <c r="J637" i="41"/>
  <c r="W636" i="41"/>
  <c r="J636" i="41"/>
  <c r="W635" i="41"/>
  <c r="J635" i="41"/>
  <c r="W634" i="41"/>
  <c r="J634" i="41"/>
  <c r="W633" i="41"/>
  <c r="J633" i="41"/>
  <c r="W632" i="41"/>
  <c r="J632" i="41"/>
  <c r="W631" i="41"/>
  <c r="J631" i="41"/>
  <c r="W630" i="41"/>
  <c r="J630" i="41"/>
  <c r="W629" i="41"/>
  <c r="J629" i="41"/>
  <c r="W628" i="41"/>
  <c r="J628" i="41"/>
  <c r="W627" i="41"/>
  <c r="J627" i="41"/>
  <c r="W626" i="41"/>
  <c r="J626" i="41"/>
  <c r="W625" i="41"/>
  <c r="J625" i="41"/>
  <c r="W624" i="41"/>
  <c r="J624" i="41"/>
  <c r="W623" i="41"/>
  <c r="J623" i="41"/>
  <c r="W622" i="41"/>
  <c r="J622" i="41"/>
  <c r="W621" i="41"/>
  <c r="J621" i="41"/>
  <c r="W620" i="41"/>
  <c r="J620" i="41"/>
  <c r="W619" i="41"/>
  <c r="J619" i="41"/>
  <c r="W618" i="41"/>
  <c r="J618" i="41"/>
  <c r="W617" i="41"/>
  <c r="J617" i="41"/>
  <c r="W616" i="41"/>
  <c r="J616" i="41"/>
  <c r="W615" i="41"/>
  <c r="J615" i="41"/>
  <c r="W614" i="41"/>
  <c r="J614" i="41"/>
  <c r="W613" i="41"/>
  <c r="J613" i="41"/>
  <c r="W612" i="41"/>
  <c r="J612" i="41"/>
  <c r="W611" i="41"/>
  <c r="J611" i="41"/>
  <c r="W610" i="41"/>
  <c r="J610" i="41"/>
  <c r="W609" i="41"/>
  <c r="J609" i="41"/>
  <c r="W608" i="41"/>
  <c r="J608" i="41"/>
  <c r="W607" i="41"/>
  <c r="J607" i="41"/>
  <c r="W606" i="41"/>
  <c r="J606" i="41"/>
  <c r="W605" i="41"/>
  <c r="J605" i="41"/>
  <c r="W604" i="41"/>
  <c r="J604" i="41"/>
  <c r="W603" i="41"/>
  <c r="J603" i="41"/>
  <c r="W602" i="41"/>
  <c r="J602" i="41"/>
  <c r="W601" i="41"/>
  <c r="J601" i="41"/>
  <c r="W600" i="41"/>
  <c r="J600" i="41"/>
  <c r="W599" i="41"/>
  <c r="J599" i="41"/>
  <c r="W598" i="41"/>
  <c r="J598" i="41"/>
  <c r="W597" i="41"/>
  <c r="J597" i="41"/>
  <c r="W596" i="41"/>
  <c r="J596" i="41"/>
  <c r="W595" i="41"/>
  <c r="J595" i="41"/>
  <c r="W594" i="41"/>
  <c r="J594" i="41"/>
  <c r="W593" i="41"/>
  <c r="J593" i="41"/>
  <c r="W592" i="41"/>
  <c r="J592" i="41"/>
  <c r="W591" i="41"/>
  <c r="J591" i="41"/>
  <c r="W590" i="41"/>
  <c r="J590" i="41"/>
  <c r="W589" i="41"/>
  <c r="J589" i="41"/>
  <c r="W588" i="41"/>
  <c r="J588" i="41"/>
  <c r="W587" i="41"/>
  <c r="J587" i="41"/>
  <c r="W586" i="41"/>
  <c r="J586" i="41"/>
  <c r="W585" i="41"/>
  <c r="J585" i="41"/>
  <c r="W584" i="41"/>
  <c r="J584" i="41"/>
  <c r="W583" i="41"/>
  <c r="J583" i="41"/>
  <c r="W582" i="41"/>
  <c r="J582" i="41"/>
  <c r="W581" i="41"/>
  <c r="J581" i="41"/>
  <c r="W580" i="41"/>
  <c r="J580" i="41"/>
  <c r="W579" i="41"/>
  <c r="J579" i="41"/>
  <c r="W578" i="41"/>
  <c r="J578" i="41"/>
  <c r="W577" i="41"/>
  <c r="J577" i="41"/>
  <c r="W576" i="41"/>
  <c r="J576" i="41"/>
  <c r="W575" i="41"/>
  <c r="J575" i="41"/>
  <c r="W574" i="41"/>
  <c r="J574" i="41"/>
  <c r="W573" i="41"/>
  <c r="J573" i="41"/>
  <c r="W572" i="41"/>
  <c r="J572" i="41"/>
  <c r="W571" i="41"/>
  <c r="J571" i="41"/>
  <c r="W570" i="41"/>
  <c r="J570" i="41"/>
  <c r="W569" i="41"/>
  <c r="J569" i="41"/>
  <c r="W568" i="41"/>
  <c r="J568" i="41"/>
  <c r="W567" i="41"/>
  <c r="J567" i="41"/>
  <c r="W566" i="41"/>
  <c r="J566" i="41"/>
  <c r="W565" i="41"/>
  <c r="J565" i="41"/>
  <c r="W564" i="41"/>
  <c r="J564" i="41"/>
  <c r="W563" i="41"/>
  <c r="J563" i="41"/>
  <c r="W562" i="41"/>
  <c r="J562" i="41"/>
  <c r="W561" i="41"/>
  <c r="J561" i="41"/>
  <c r="W560" i="41"/>
  <c r="J560" i="41"/>
  <c r="W559" i="41"/>
  <c r="J559" i="41"/>
  <c r="W558" i="41"/>
  <c r="J558" i="41"/>
  <c r="W557" i="41"/>
  <c r="J557" i="41"/>
  <c r="W556" i="41"/>
  <c r="J556" i="41"/>
  <c r="W555" i="41"/>
  <c r="J555" i="41"/>
  <c r="W554" i="41"/>
  <c r="J554" i="41"/>
  <c r="W553" i="41"/>
  <c r="J553" i="41"/>
  <c r="W552" i="41"/>
  <c r="J552" i="41"/>
  <c r="W551" i="41"/>
  <c r="J551" i="41"/>
  <c r="W550" i="41"/>
  <c r="J550" i="41"/>
  <c r="W549" i="41"/>
  <c r="J549" i="41"/>
  <c r="W548" i="41"/>
  <c r="J548" i="41"/>
  <c r="W547" i="41"/>
  <c r="J547" i="41"/>
  <c r="W546" i="41"/>
  <c r="J546" i="41"/>
  <c r="W545" i="41"/>
  <c r="J545" i="41"/>
  <c r="W544" i="41"/>
  <c r="J544" i="41"/>
  <c r="W543" i="41"/>
  <c r="J543" i="41"/>
  <c r="W542" i="41"/>
  <c r="J542" i="41"/>
  <c r="W541" i="41"/>
  <c r="J541" i="41"/>
  <c r="W540" i="41"/>
  <c r="J540" i="41"/>
  <c r="W539" i="41"/>
  <c r="J539" i="41"/>
  <c r="W538" i="41"/>
  <c r="J538" i="41"/>
  <c r="W537" i="41"/>
  <c r="J537" i="41"/>
  <c r="W536" i="41"/>
  <c r="J536" i="41"/>
  <c r="W535" i="41"/>
  <c r="J535" i="41"/>
  <c r="W534" i="41"/>
  <c r="J534" i="41"/>
  <c r="W533" i="41"/>
  <c r="J533" i="41"/>
  <c r="W532" i="41"/>
  <c r="J532" i="41"/>
  <c r="W531" i="41"/>
  <c r="J531" i="41"/>
  <c r="W530" i="41"/>
  <c r="J530" i="41"/>
  <c r="W529" i="41"/>
  <c r="J529" i="41"/>
  <c r="W528" i="41"/>
  <c r="J528" i="41"/>
  <c r="W527" i="41"/>
  <c r="J527" i="41"/>
  <c r="W526" i="41"/>
  <c r="J526" i="41"/>
  <c r="W525" i="41"/>
  <c r="J525" i="41"/>
  <c r="W524" i="41"/>
  <c r="J524" i="41"/>
  <c r="W523" i="41"/>
  <c r="J523" i="41"/>
  <c r="W522" i="41"/>
  <c r="J522" i="41"/>
  <c r="W521" i="41"/>
  <c r="J521" i="41"/>
  <c r="W520" i="41"/>
  <c r="J520" i="41"/>
  <c r="W519" i="41"/>
  <c r="J519" i="41"/>
  <c r="W518" i="41"/>
  <c r="J518" i="41"/>
  <c r="W517" i="41"/>
  <c r="J517" i="41"/>
  <c r="W516" i="41"/>
  <c r="J516" i="41"/>
  <c r="W515" i="41"/>
  <c r="J515" i="41"/>
  <c r="W514" i="41"/>
  <c r="J514" i="41"/>
  <c r="W513" i="41"/>
  <c r="J513" i="41"/>
  <c r="W512" i="41"/>
  <c r="J512" i="41"/>
  <c r="W511" i="41"/>
  <c r="J511" i="41"/>
  <c r="W510" i="41"/>
  <c r="J510" i="41"/>
  <c r="W509" i="41"/>
  <c r="J509" i="41"/>
  <c r="W508" i="41"/>
  <c r="J508" i="41"/>
  <c r="W507" i="41"/>
  <c r="J507" i="41"/>
  <c r="W506" i="41"/>
  <c r="J506" i="41"/>
  <c r="W505" i="41"/>
  <c r="J505" i="41"/>
  <c r="W504" i="41"/>
  <c r="J504" i="41"/>
  <c r="W503" i="41"/>
  <c r="J503" i="41"/>
  <c r="W502" i="41"/>
  <c r="J502" i="41"/>
  <c r="W501" i="41"/>
  <c r="J501" i="41"/>
  <c r="W500" i="41"/>
  <c r="J500" i="41"/>
  <c r="W499" i="41"/>
  <c r="J499" i="41"/>
  <c r="G499" i="41"/>
  <c r="W498" i="41"/>
  <c r="J498" i="41"/>
  <c r="G498" i="41"/>
  <c r="W497" i="41"/>
  <c r="J497" i="41"/>
  <c r="G497" i="41"/>
  <c r="W496" i="41"/>
  <c r="J496" i="41"/>
  <c r="G496" i="41"/>
  <c r="W495" i="41"/>
  <c r="J495" i="41"/>
  <c r="G495" i="41"/>
  <c r="W494" i="41"/>
  <c r="J494" i="41"/>
  <c r="G494" i="41"/>
  <c r="W493" i="41"/>
  <c r="J493" i="41"/>
  <c r="G493" i="41"/>
  <c r="W492" i="41"/>
  <c r="J492" i="41"/>
  <c r="G492" i="41"/>
  <c r="W491" i="41"/>
  <c r="J491" i="41"/>
  <c r="G491" i="41"/>
  <c r="W490" i="41"/>
  <c r="J490" i="41"/>
  <c r="G490" i="41"/>
  <c r="W489" i="41"/>
  <c r="J489" i="41"/>
  <c r="G489" i="41"/>
  <c r="W488" i="41"/>
  <c r="J488" i="41"/>
  <c r="G488" i="41"/>
  <c r="W487" i="41"/>
  <c r="J487" i="41"/>
  <c r="G487" i="41"/>
  <c r="W486" i="41"/>
  <c r="J486" i="41"/>
  <c r="G486" i="41"/>
  <c r="W485" i="41"/>
  <c r="J485" i="41"/>
  <c r="G485" i="41"/>
  <c r="W484" i="41"/>
  <c r="J484" i="41"/>
  <c r="G484" i="41"/>
  <c r="W483" i="41"/>
  <c r="J483" i="41"/>
  <c r="G483" i="41"/>
  <c r="W482" i="41"/>
  <c r="J482" i="41"/>
  <c r="G482" i="41"/>
  <c r="W481" i="41"/>
  <c r="J481" i="41"/>
  <c r="G481" i="41"/>
  <c r="W480" i="41"/>
  <c r="J480" i="41"/>
  <c r="G480" i="41"/>
  <c r="W479" i="41"/>
  <c r="J479" i="41"/>
  <c r="G479" i="41"/>
  <c r="W478" i="41"/>
  <c r="J478" i="41"/>
  <c r="G478" i="41"/>
  <c r="W477" i="41"/>
  <c r="J477" i="41"/>
  <c r="G477" i="41"/>
  <c r="W476" i="41"/>
  <c r="J476" i="41"/>
  <c r="G476" i="41"/>
  <c r="W475" i="41"/>
  <c r="J475" i="41"/>
  <c r="G475" i="41"/>
  <c r="W474" i="41"/>
  <c r="J474" i="41"/>
  <c r="G474" i="41"/>
  <c r="W473" i="41"/>
  <c r="J473" i="41"/>
  <c r="G473" i="41"/>
  <c r="W472" i="41"/>
  <c r="J472" i="41"/>
  <c r="G472" i="41"/>
  <c r="W471" i="41"/>
  <c r="J471" i="41"/>
  <c r="G471" i="41"/>
  <c r="W470" i="41"/>
  <c r="J470" i="41"/>
  <c r="G470" i="41"/>
  <c r="W469" i="41"/>
  <c r="J469" i="41"/>
  <c r="G469" i="41"/>
  <c r="W468" i="41"/>
  <c r="J468" i="41"/>
  <c r="G468" i="41"/>
  <c r="W467" i="41"/>
  <c r="J467" i="41"/>
  <c r="G467" i="41"/>
  <c r="W466" i="41"/>
  <c r="J466" i="41"/>
  <c r="G466" i="41"/>
  <c r="W465" i="41"/>
  <c r="J465" i="41"/>
  <c r="G465" i="41"/>
  <c r="W464" i="41"/>
  <c r="J464" i="41"/>
  <c r="G464" i="41"/>
  <c r="W463" i="41"/>
  <c r="J463" i="41"/>
  <c r="G463" i="41"/>
  <c r="W462" i="41"/>
  <c r="J462" i="41"/>
  <c r="G462" i="41"/>
  <c r="W461" i="41"/>
  <c r="J461" i="41"/>
  <c r="G461" i="41"/>
  <c r="W460" i="41"/>
  <c r="J460" i="41"/>
  <c r="G460" i="41"/>
  <c r="W459" i="41"/>
  <c r="J459" i="41"/>
  <c r="G459" i="41"/>
  <c r="W458" i="41"/>
  <c r="J458" i="41"/>
  <c r="G458" i="41"/>
  <c r="W457" i="41"/>
  <c r="J457" i="41"/>
  <c r="G457" i="41"/>
  <c r="W456" i="41"/>
  <c r="J456" i="41"/>
  <c r="G456" i="41"/>
  <c r="W455" i="41"/>
  <c r="J455" i="41"/>
  <c r="G455" i="41"/>
  <c r="W454" i="41"/>
  <c r="J454" i="41"/>
  <c r="G454" i="41"/>
  <c r="W453" i="41"/>
  <c r="J453" i="41"/>
  <c r="G453" i="41"/>
  <c r="W452" i="41"/>
  <c r="J452" i="41"/>
  <c r="G452" i="41"/>
  <c r="W451" i="41"/>
  <c r="J451" i="41"/>
  <c r="G451" i="41"/>
  <c r="W450" i="41"/>
  <c r="J450" i="41"/>
  <c r="G450" i="41"/>
  <c r="W449" i="41"/>
  <c r="J449" i="41"/>
  <c r="G449" i="41"/>
  <c r="W448" i="41"/>
  <c r="J448" i="41"/>
  <c r="G448" i="41"/>
  <c r="W447" i="41"/>
  <c r="J447" i="41"/>
  <c r="G447" i="41"/>
  <c r="W446" i="41"/>
  <c r="J446" i="41"/>
  <c r="G446" i="41"/>
  <c r="W445" i="41"/>
  <c r="J445" i="41"/>
  <c r="G445" i="41"/>
  <c r="W444" i="41"/>
  <c r="J444" i="41"/>
  <c r="G444" i="41"/>
  <c r="W443" i="41"/>
  <c r="J443" i="41"/>
  <c r="G443" i="41"/>
  <c r="W442" i="41"/>
  <c r="J442" i="41"/>
  <c r="G442" i="41"/>
  <c r="W441" i="41"/>
  <c r="J441" i="41"/>
  <c r="G441" i="41"/>
  <c r="W440" i="41"/>
  <c r="J440" i="41"/>
  <c r="G440" i="41"/>
  <c r="W439" i="41"/>
  <c r="J439" i="41"/>
  <c r="G439" i="41"/>
  <c r="W438" i="41"/>
  <c r="J438" i="41"/>
  <c r="G438" i="41"/>
  <c r="W437" i="41"/>
  <c r="J437" i="41"/>
  <c r="G437" i="41"/>
  <c r="W436" i="41"/>
  <c r="J436" i="41"/>
  <c r="G436" i="41"/>
  <c r="W435" i="41"/>
  <c r="J435" i="41"/>
  <c r="G435" i="41"/>
  <c r="W434" i="41"/>
  <c r="J434" i="41"/>
  <c r="G434" i="41"/>
  <c r="W433" i="41"/>
  <c r="J433" i="41"/>
  <c r="G433" i="41"/>
  <c r="W432" i="41"/>
  <c r="J432" i="41"/>
  <c r="G432" i="41"/>
  <c r="W431" i="41"/>
  <c r="J431" i="41"/>
  <c r="G431" i="41"/>
  <c r="W430" i="41"/>
  <c r="J430" i="41"/>
  <c r="G430" i="41"/>
  <c r="W429" i="41"/>
  <c r="J429" i="41"/>
  <c r="G429" i="41"/>
  <c r="W428" i="41"/>
  <c r="J428" i="41"/>
  <c r="G428" i="41"/>
  <c r="W427" i="41"/>
  <c r="J427" i="41"/>
  <c r="G427" i="41"/>
  <c r="W426" i="41"/>
  <c r="J426" i="41"/>
  <c r="G426" i="41"/>
  <c r="W425" i="41"/>
  <c r="J425" i="41"/>
  <c r="G425" i="41"/>
  <c r="W424" i="41"/>
  <c r="J424" i="41"/>
  <c r="G424" i="41"/>
  <c r="W423" i="41"/>
  <c r="J423" i="41"/>
  <c r="G423" i="41"/>
  <c r="W422" i="41"/>
  <c r="J422" i="41"/>
  <c r="G422" i="41"/>
  <c r="W421" i="41"/>
  <c r="J421" i="41"/>
  <c r="G421" i="41"/>
  <c r="W420" i="41"/>
  <c r="J420" i="41"/>
  <c r="G420" i="41"/>
  <c r="W419" i="41"/>
  <c r="J419" i="41"/>
  <c r="G419" i="41"/>
  <c r="W418" i="41"/>
  <c r="J418" i="41"/>
  <c r="G418" i="41"/>
  <c r="W417" i="41"/>
  <c r="J417" i="41"/>
  <c r="G417" i="41"/>
  <c r="W416" i="41"/>
  <c r="J416" i="41"/>
  <c r="G416" i="41"/>
  <c r="W415" i="41"/>
  <c r="J415" i="41"/>
  <c r="G415" i="41"/>
  <c r="W414" i="41"/>
  <c r="J414" i="41"/>
  <c r="G414" i="41"/>
  <c r="W413" i="41"/>
  <c r="J413" i="41"/>
  <c r="G413" i="41"/>
  <c r="W412" i="41"/>
  <c r="J412" i="41"/>
  <c r="G412" i="41"/>
  <c r="W411" i="41"/>
  <c r="J411" i="41"/>
  <c r="G411" i="41"/>
  <c r="W410" i="41"/>
  <c r="J410" i="41"/>
  <c r="G410" i="41"/>
  <c r="W409" i="41"/>
  <c r="J409" i="41"/>
  <c r="G409" i="41"/>
  <c r="W408" i="41"/>
  <c r="J408" i="41"/>
  <c r="G408" i="41"/>
  <c r="W407" i="41"/>
  <c r="J407" i="41"/>
  <c r="G407" i="41"/>
  <c r="W406" i="41"/>
  <c r="J406" i="41"/>
  <c r="G406" i="41"/>
  <c r="W405" i="41"/>
  <c r="J405" i="41"/>
  <c r="G405" i="41"/>
  <c r="W404" i="41"/>
  <c r="J404" i="41"/>
  <c r="G404" i="41"/>
  <c r="W403" i="41"/>
  <c r="J403" i="41"/>
  <c r="G403" i="41"/>
  <c r="W402" i="41"/>
  <c r="J402" i="41"/>
  <c r="G402" i="41"/>
  <c r="W401" i="41"/>
  <c r="J401" i="41"/>
  <c r="G401" i="41"/>
  <c r="W400" i="41"/>
  <c r="J400" i="41"/>
  <c r="G400" i="41"/>
  <c r="W399" i="41"/>
  <c r="J399" i="41"/>
  <c r="G399" i="41"/>
  <c r="W398" i="41"/>
  <c r="J398" i="41"/>
  <c r="G398" i="41"/>
  <c r="W397" i="41"/>
  <c r="J397" i="41"/>
  <c r="G397" i="41"/>
  <c r="W396" i="41"/>
  <c r="J396" i="41"/>
  <c r="G396" i="41"/>
  <c r="W395" i="41"/>
  <c r="J395" i="41"/>
  <c r="G395" i="41"/>
  <c r="W394" i="41"/>
  <c r="J394" i="41"/>
  <c r="G394" i="41"/>
  <c r="W393" i="41"/>
  <c r="J393" i="41"/>
  <c r="G393" i="41"/>
  <c r="W392" i="41"/>
  <c r="J392" i="41"/>
  <c r="G392" i="41"/>
  <c r="W391" i="41"/>
  <c r="J391" i="41"/>
  <c r="G391" i="41"/>
  <c r="W390" i="41"/>
  <c r="J390" i="41"/>
  <c r="G390" i="41"/>
  <c r="W389" i="41"/>
  <c r="J389" i="41"/>
  <c r="G389" i="41"/>
  <c r="W388" i="41"/>
  <c r="J388" i="41"/>
  <c r="G388" i="41"/>
  <c r="W387" i="41"/>
  <c r="J387" i="41"/>
  <c r="G387" i="41"/>
  <c r="W386" i="41"/>
  <c r="J386" i="41"/>
  <c r="G386" i="41"/>
  <c r="W385" i="41"/>
  <c r="J385" i="41"/>
  <c r="G385" i="41"/>
  <c r="W384" i="41"/>
  <c r="J384" i="41"/>
  <c r="G384" i="41"/>
  <c r="W383" i="41"/>
  <c r="J383" i="41"/>
  <c r="G383" i="41"/>
  <c r="W382" i="41"/>
  <c r="J382" i="41"/>
  <c r="G382" i="41"/>
  <c r="W381" i="41"/>
  <c r="J381" i="41"/>
  <c r="G381" i="41"/>
  <c r="W380" i="41"/>
  <c r="J380" i="41"/>
  <c r="G380" i="41"/>
  <c r="W379" i="41"/>
  <c r="J379" i="41"/>
  <c r="G379" i="41"/>
  <c r="W378" i="41"/>
  <c r="J378" i="41"/>
  <c r="G378" i="41"/>
  <c r="W377" i="41"/>
  <c r="J377" i="41"/>
  <c r="G377" i="41"/>
  <c r="W376" i="41"/>
  <c r="J376" i="41"/>
  <c r="G376" i="41"/>
  <c r="W375" i="41"/>
  <c r="J375" i="41"/>
  <c r="G375" i="41"/>
  <c r="W374" i="41"/>
  <c r="O374" i="41"/>
  <c r="J374" i="41"/>
  <c r="G374" i="41"/>
  <c r="W373" i="41"/>
  <c r="O373" i="41"/>
  <c r="J373" i="41"/>
  <c r="G373" i="41"/>
  <c r="W372" i="41"/>
  <c r="O372" i="41"/>
  <c r="J372" i="41"/>
  <c r="G372" i="41"/>
  <c r="W371" i="41"/>
  <c r="O371" i="41"/>
  <c r="J371" i="41"/>
  <c r="G371" i="41"/>
  <c r="W370" i="41"/>
  <c r="O370" i="41"/>
  <c r="J370" i="41"/>
  <c r="G370" i="41"/>
  <c r="W369" i="41"/>
  <c r="O369" i="41"/>
  <c r="J369" i="41"/>
  <c r="G369" i="41"/>
  <c r="W368" i="41"/>
  <c r="O368" i="41"/>
  <c r="J368" i="41"/>
  <c r="G368" i="41"/>
  <c r="W367" i="41"/>
  <c r="O367" i="41"/>
  <c r="J367" i="41"/>
  <c r="G367" i="41"/>
  <c r="W366" i="41"/>
  <c r="O366" i="41"/>
  <c r="J366" i="41"/>
  <c r="G366" i="41"/>
  <c r="W365" i="41"/>
  <c r="O365" i="41"/>
  <c r="J365" i="41"/>
  <c r="G365" i="41"/>
  <c r="W364" i="41"/>
  <c r="O364" i="41"/>
  <c r="J364" i="41"/>
  <c r="G364" i="41"/>
  <c r="W363" i="41"/>
  <c r="O363" i="41"/>
  <c r="J363" i="41"/>
  <c r="G363" i="41"/>
  <c r="W362" i="41"/>
  <c r="O362" i="41"/>
  <c r="J362" i="41"/>
  <c r="G362" i="41"/>
  <c r="W361" i="41"/>
  <c r="O361" i="41"/>
  <c r="J361" i="41"/>
  <c r="G361" i="41"/>
  <c r="W360" i="41"/>
  <c r="O360" i="41"/>
  <c r="J360" i="41"/>
  <c r="G360" i="41"/>
  <c r="W359" i="41"/>
  <c r="O359" i="41"/>
  <c r="J359" i="41"/>
  <c r="G359" i="41"/>
  <c r="W358" i="41"/>
  <c r="O358" i="41"/>
  <c r="J358" i="41"/>
  <c r="G358" i="41"/>
  <c r="W357" i="41"/>
  <c r="O357" i="41"/>
  <c r="J357" i="41"/>
  <c r="G357" i="41"/>
  <c r="W356" i="41"/>
  <c r="O356" i="41"/>
  <c r="J356" i="41"/>
  <c r="G356" i="41"/>
  <c r="W355" i="41"/>
  <c r="O355" i="41"/>
  <c r="J355" i="41"/>
  <c r="G355" i="41"/>
  <c r="W354" i="41"/>
  <c r="O354" i="41"/>
  <c r="J354" i="41"/>
  <c r="G354" i="41"/>
  <c r="W353" i="41"/>
  <c r="O353" i="41"/>
  <c r="J353" i="41"/>
  <c r="G353" i="41"/>
  <c r="W352" i="41"/>
  <c r="O352" i="41"/>
  <c r="J352" i="41"/>
  <c r="G352" i="41"/>
  <c r="W351" i="41"/>
  <c r="O351" i="41"/>
  <c r="J351" i="41"/>
  <c r="G351" i="41"/>
  <c r="W350" i="41"/>
  <c r="O350" i="41"/>
  <c r="J350" i="41"/>
  <c r="G350" i="41"/>
  <c r="W349" i="41"/>
  <c r="O349" i="41"/>
  <c r="J349" i="41"/>
  <c r="G349" i="41"/>
  <c r="W348" i="41"/>
  <c r="O348" i="41"/>
  <c r="J348" i="41"/>
  <c r="G348" i="41"/>
  <c r="W347" i="41"/>
  <c r="O347" i="41"/>
  <c r="J347" i="41"/>
  <c r="G347" i="41"/>
  <c r="W346" i="41"/>
  <c r="O346" i="41"/>
  <c r="J346" i="41"/>
  <c r="G346" i="41"/>
  <c r="W345" i="41"/>
  <c r="O345" i="41"/>
  <c r="J345" i="41"/>
  <c r="G345" i="41"/>
  <c r="W344" i="41"/>
  <c r="O344" i="41"/>
  <c r="J344" i="41"/>
  <c r="G344" i="41"/>
  <c r="W343" i="41"/>
  <c r="O343" i="41"/>
  <c r="J343" i="41"/>
  <c r="G343" i="41"/>
  <c r="W342" i="41"/>
  <c r="O342" i="41"/>
  <c r="J342" i="41"/>
  <c r="G342" i="41"/>
  <c r="W341" i="41"/>
  <c r="O341" i="41"/>
  <c r="J341" i="41"/>
  <c r="G341" i="41"/>
  <c r="W340" i="41"/>
  <c r="O340" i="41"/>
  <c r="J340" i="41"/>
  <c r="G340" i="41"/>
  <c r="W339" i="41"/>
  <c r="O339" i="41"/>
  <c r="J339" i="41"/>
  <c r="G339" i="41"/>
  <c r="W338" i="41"/>
  <c r="O338" i="41"/>
  <c r="J338" i="41"/>
  <c r="G338" i="41"/>
  <c r="W337" i="41"/>
  <c r="O337" i="41"/>
  <c r="J337" i="41"/>
  <c r="G337" i="41"/>
  <c r="W336" i="41"/>
  <c r="O336" i="41"/>
  <c r="J336" i="41"/>
  <c r="G336" i="41"/>
  <c r="W335" i="41"/>
  <c r="O335" i="41"/>
  <c r="J335" i="41"/>
  <c r="G335" i="41"/>
  <c r="W334" i="41"/>
  <c r="O334" i="41"/>
  <c r="J334" i="41"/>
  <c r="G334" i="41"/>
  <c r="W333" i="41"/>
  <c r="O333" i="41"/>
  <c r="J333" i="41"/>
  <c r="G333" i="41"/>
  <c r="W332" i="41"/>
  <c r="O332" i="41"/>
  <c r="J332" i="41"/>
  <c r="G332" i="41"/>
  <c r="W331" i="41"/>
  <c r="O331" i="41"/>
  <c r="J331" i="41"/>
  <c r="G331" i="41"/>
  <c r="W330" i="41"/>
  <c r="O330" i="41"/>
  <c r="J330" i="41"/>
  <c r="G330" i="41"/>
  <c r="W329" i="41"/>
  <c r="O329" i="41"/>
  <c r="J329" i="41"/>
  <c r="G329" i="41"/>
  <c r="W328" i="41"/>
  <c r="O328" i="41"/>
  <c r="J328" i="41"/>
  <c r="G328" i="41"/>
  <c r="W327" i="41"/>
  <c r="O327" i="41"/>
  <c r="J327" i="41"/>
  <c r="G327" i="41"/>
  <c r="W326" i="41"/>
  <c r="O326" i="41"/>
  <c r="J326" i="41"/>
  <c r="G326" i="41"/>
  <c r="W325" i="41"/>
  <c r="O325" i="41"/>
  <c r="J325" i="41"/>
  <c r="G325" i="41"/>
  <c r="W324" i="41"/>
  <c r="O324" i="41"/>
  <c r="J324" i="41"/>
  <c r="G324" i="41"/>
  <c r="W323" i="41"/>
  <c r="O323" i="41"/>
  <c r="J323" i="41"/>
  <c r="G323" i="41"/>
  <c r="W322" i="41"/>
  <c r="O322" i="41"/>
  <c r="J322" i="41"/>
  <c r="G322" i="41"/>
  <c r="W321" i="41"/>
  <c r="O321" i="41"/>
  <c r="J321" i="41"/>
  <c r="G321" i="41"/>
  <c r="W320" i="41"/>
  <c r="O320" i="41"/>
  <c r="J320" i="41"/>
  <c r="G320" i="41"/>
  <c r="W319" i="41"/>
  <c r="O319" i="41"/>
  <c r="J319" i="41"/>
  <c r="G319" i="41"/>
  <c r="W318" i="41"/>
  <c r="O318" i="41"/>
  <c r="J318" i="41"/>
  <c r="G318" i="41"/>
  <c r="W317" i="41"/>
  <c r="O317" i="41"/>
  <c r="J317" i="41"/>
  <c r="G317" i="41"/>
  <c r="W316" i="41"/>
  <c r="O316" i="41"/>
  <c r="J316" i="41"/>
  <c r="G316" i="41"/>
  <c r="W315" i="41"/>
  <c r="O315" i="41"/>
  <c r="J315" i="41"/>
  <c r="G315" i="41"/>
  <c r="W314" i="41"/>
  <c r="O314" i="41"/>
  <c r="J314" i="41"/>
  <c r="G314" i="41"/>
  <c r="W313" i="41"/>
  <c r="O313" i="41"/>
  <c r="J313" i="41"/>
  <c r="G313" i="41"/>
  <c r="W312" i="41"/>
  <c r="O312" i="41"/>
  <c r="J312" i="41"/>
  <c r="G312" i="41"/>
  <c r="W311" i="41"/>
  <c r="O311" i="41"/>
  <c r="J311" i="41"/>
  <c r="G311" i="41"/>
  <c r="W310" i="41"/>
  <c r="O310" i="41"/>
  <c r="J310" i="41"/>
  <c r="G310" i="41"/>
  <c r="W309" i="41"/>
  <c r="O309" i="41"/>
  <c r="J309" i="41"/>
  <c r="G309" i="41"/>
  <c r="W308" i="41"/>
  <c r="O308" i="41"/>
  <c r="J308" i="41"/>
  <c r="G308" i="41"/>
  <c r="W307" i="41"/>
  <c r="O307" i="41"/>
  <c r="J307" i="41"/>
  <c r="G307" i="41"/>
  <c r="W306" i="41"/>
  <c r="O306" i="41"/>
  <c r="J306" i="41"/>
  <c r="G306" i="41"/>
  <c r="W305" i="41"/>
  <c r="O305" i="41"/>
  <c r="J305" i="41"/>
  <c r="G305" i="41"/>
  <c r="W304" i="41"/>
  <c r="O304" i="41"/>
  <c r="J304" i="41"/>
  <c r="G304" i="41"/>
  <c r="W303" i="41"/>
  <c r="O303" i="41"/>
  <c r="J303" i="41"/>
  <c r="G303" i="41"/>
  <c r="W302" i="41"/>
  <c r="O302" i="41"/>
  <c r="J302" i="41"/>
  <c r="G302" i="41"/>
  <c r="W301" i="41"/>
  <c r="O301" i="41"/>
  <c r="J301" i="41"/>
  <c r="G301" i="41"/>
  <c r="W300" i="41"/>
  <c r="O300" i="41"/>
  <c r="J300" i="41"/>
  <c r="G300" i="41"/>
  <c r="W299" i="41"/>
  <c r="O299" i="41"/>
  <c r="J299" i="41"/>
  <c r="G299" i="41"/>
  <c r="W298" i="41"/>
  <c r="O298" i="41"/>
  <c r="J298" i="41"/>
  <c r="G298" i="41"/>
  <c r="W297" i="41"/>
  <c r="O297" i="41"/>
  <c r="J297" i="41"/>
  <c r="G297" i="41"/>
  <c r="W296" i="41"/>
  <c r="O296" i="41"/>
  <c r="J296" i="41"/>
  <c r="G296" i="41"/>
  <c r="W295" i="41"/>
  <c r="O295" i="41"/>
  <c r="J295" i="41"/>
  <c r="G295" i="41"/>
  <c r="W294" i="41"/>
  <c r="O294" i="41"/>
  <c r="J294" i="41"/>
  <c r="G294" i="41"/>
  <c r="W293" i="41"/>
  <c r="O293" i="41"/>
  <c r="J293" i="41"/>
  <c r="G293" i="41"/>
  <c r="W292" i="41"/>
  <c r="O292" i="41"/>
  <c r="J292" i="41"/>
  <c r="G292" i="41"/>
  <c r="W291" i="41"/>
  <c r="O291" i="41"/>
  <c r="J291" i="41"/>
  <c r="G291" i="41"/>
  <c r="W290" i="41"/>
  <c r="O290" i="41"/>
  <c r="J290" i="41"/>
  <c r="G290" i="41"/>
  <c r="W289" i="41"/>
  <c r="O289" i="41"/>
  <c r="J289" i="41"/>
  <c r="G289" i="41"/>
  <c r="W288" i="41"/>
  <c r="O288" i="41"/>
  <c r="J288" i="41"/>
  <c r="G288" i="41"/>
  <c r="W287" i="41"/>
  <c r="O287" i="41"/>
  <c r="J287" i="41"/>
  <c r="G287" i="41"/>
  <c r="W286" i="41"/>
  <c r="O286" i="41"/>
  <c r="J286" i="41"/>
  <c r="G286" i="41"/>
  <c r="W285" i="41"/>
  <c r="O285" i="41"/>
  <c r="J285" i="41"/>
  <c r="G285" i="41"/>
  <c r="W284" i="41"/>
  <c r="O284" i="41"/>
  <c r="J284" i="41"/>
  <c r="G284" i="41"/>
  <c r="W283" i="41"/>
  <c r="O283" i="41"/>
  <c r="J283" i="41"/>
  <c r="G283" i="41"/>
  <c r="W282" i="41"/>
  <c r="O282" i="41"/>
  <c r="J282" i="41"/>
  <c r="G282" i="41"/>
  <c r="W281" i="41"/>
  <c r="O281" i="41"/>
  <c r="J281" i="41"/>
  <c r="G281" i="41"/>
  <c r="W280" i="41"/>
  <c r="O280" i="41"/>
  <c r="J280" i="41"/>
  <c r="G280" i="41"/>
  <c r="W279" i="41"/>
  <c r="O279" i="41"/>
  <c r="J279" i="41"/>
  <c r="G279" i="41"/>
  <c r="W278" i="41"/>
  <c r="O278" i="41"/>
  <c r="J278" i="41"/>
  <c r="G278" i="41"/>
  <c r="W277" i="41"/>
  <c r="O277" i="41"/>
  <c r="J277" i="41"/>
  <c r="G277" i="41"/>
  <c r="W276" i="41"/>
  <c r="O276" i="41"/>
  <c r="J276" i="41"/>
  <c r="G276" i="41"/>
  <c r="W275" i="41"/>
  <c r="O275" i="41"/>
  <c r="J275" i="41"/>
  <c r="G275" i="41"/>
  <c r="W274" i="41"/>
  <c r="O274" i="41"/>
  <c r="J274" i="41"/>
  <c r="G274" i="41"/>
  <c r="W273" i="41"/>
  <c r="O273" i="41"/>
  <c r="J273" i="41"/>
  <c r="G273" i="41"/>
  <c r="W272" i="41"/>
  <c r="O272" i="41"/>
  <c r="J272" i="41"/>
  <c r="G272" i="41"/>
  <c r="W271" i="41"/>
  <c r="O271" i="41"/>
  <c r="J271" i="41"/>
  <c r="G271" i="41"/>
  <c r="W270" i="41"/>
  <c r="O270" i="41"/>
  <c r="J270" i="41"/>
  <c r="G270" i="41"/>
  <c r="W269" i="41"/>
  <c r="O269" i="41"/>
  <c r="J269" i="41"/>
  <c r="G269" i="41"/>
  <c r="W268" i="41"/>
  <c r="O268" i="41"/>
  <c r="J268" i="41"/>
  <c r="G268" i="41"/>
  <c r="W267" i="41"/>
  <c r="O267" i="41"/>
  <c r="J267" i="41"/>
  <c r="G267" i="41"/>
  <c r="W266" i="41"/>
  <c r="O266" i="41"/>
  <c r="J266" i="41"/>
  <c r="G266" i="41"/>
  <c r="W265" i="41"/>
  <c r="O265" i="41"/>
  <c r="J265" i="41"/>
  <c r="G265" i="41"/>
  <c r="W264" i="41"/>
  <c r="O264" i="41"/>
  <c r="J264" i="41"/>
  <c r="G264" i="41"/>
  <c r="W263" i="41"/>
  <c r="O263" i="41"/>
  <c r="J263" i="41"/>
  <c r="G263" i="41"/>
  <c r="W262" i="41"/>
  <c r="O262" i="41"/>
  <c r="J262" i="41"/>
  <c r="G262" i="41"/>
  <c r="W261" i="41"/>
  <c r="O261" i="41"/>
  <c r="J261" i="41"/>
  <c r="G261" i="41"/>
  <c r="W260" i="41"/>
  <c r="O260" i="41"/>
  <c r="J260" i="41"/>
  <c r="G260" i="41"/>
  <c r="W259" i="41"/>
  <c r="O259" i="41"/>
  <c r="J259" i="41"/>
  <c r="G259" i="41"/>
  <c r="W258" i="41"/>
  <c r="O258" i="41"/>
  <c r="J258" i="41"/>
  <c r="G258" i="41"/>
  <c r="W257" i="41"/>
  <c r="O257" i="41"/>
  <c r="J257" i="41"/>
  <c r="G257" i="41"/>
  <c r="W256" i="41"/>
  <c r="O256" i="41"/>
  <c r="J256" i="41"/>
  <c r="G256" i="41"/>
  <c r="W255" i="41"/>
  <c r="O255" i="41"/>
  <c r="J255" i="41"/>
  <c r="G255" i="41"/>
  <c r="W254" i="41"/>
  <c r="O254" i="41"/>
  <c r="J254" i="41"/>
  <c r="G254" i="41"/>
  <c r="W253" i="41"/>
  <c r="O253" i="41"/>
  <c r="J253" i="41"/>
  <c r="G253" i="41"/>
  <c r="W252" i="41"/>
  <c r="O252" i="41"/>
  <c r="J252" i="41"/>
  <c r="G252" i="41"/>
  <c r="W251" i="41"/>
  <c r="O251" i="41"/>
  <c r="J251" i="41"/>
  <c r="G251" i="41"/>
  <c r="W250" i="41"/>
  <c r="O250" i="41"/>
  <c r="J250" i="41"/>
  <c r="G250" i="41"/>
  <c r="W249" i="41"/>
  <c r="O249" i="41"/>
  <c r="J249" i="41"/>
  <c r="G249" i="41"/>
  <c r="W248" i="41"/>
  <c r="O248" i="41"/>
  <c r="J248" i="41"/>
  <c r="G248" i="41"/>
  <c r="W247" i="41"/>
  <c r="O247" i="41"/>
  <c r="J247" i="41"/>
  <c r="G247" i="41"/>
  <c r="W246" i="41"/>
  <c r="O246" i="41"/>
  <c r="J246" i="41"/>
  <c r="G246" i="41"/>
  <c r="W245" i="41"/>
  <c r="O245" i="41"/>
  <c r="J245" i="41"/>
  <c r="G245" i="41"/>
  <c r="W244" i="41"/>
  <c r="O244" i="41"/>
  <c r="J244" i="41"/>
  <c r="G244" i="41"/>
  <c r="W243" i="41"/>
  <c r="O243" i="41"/>
  <c r="J243" i="41"/>
  <c r="G243" i="41"/>
  <c r="W242" i="41"/>
  <c r="O242" i="41"/>
  <c r="J242" i="41"/>
  <c r="G242" i="41"/>
  <c r="W241" i="41"/>
  <c r="O241" i="41"/>
  <c r="J241" i="41"/>
  <c r="G241" i="41"/>
  <c r="W240" i="41"/>
  <c r="O240" i="41"/>
  <c r="J240" i="41"/>
  <c r="G240" i="41"/>
  <c r="W239" i="41"/>
  <c r="O239" i="41"/>
  <c r="J239" i="41"/>
  <c r="G239" i="41"/>
  <c r="W238" i="41"/>
  <c r="O238" i="41"/>
  <c r="J238" i="41"/>
  <c r="G238" i="41"/>
  <c r="W237" i="41"/>
  <c r="O237" i="41"/>
  <c r="J237" i="41"/>
  <c r="G237" i="41"/>
  <c r="W236" i="41"/>
  <c r="O236" i="41"/>
  <c r="J236" i="41"/>
  <c r="G236" i="41"/>
  <c r="W235" i="41"/>
  <c r="O235" i="41"/>
  <c r="J235" i="41"/>
  <c r="G235" i="41"/>
  <c r="W234" i="41"/>
  <c r="O234" i="41"/>
  <c r="J234" i="41"/>
  <c r="G234" i="41"/>
  <c r="W233" i="41"/>
  <c r="O233" i="41"/>
  <c r="J233" i="41"/>
  <c r="G233" i="41"/>
  <c r="W232" i="41"/>
  <c r="O232" i="41"/>
  <c r="J232" i="41"/>
  <c r="G232" i="41"/>
  <c r="W231" i="41"/>
  <c r="O231" i="41"/>
  <c r="J231" i="41"/>
  <c r="G231" i="41"/>
  <c r="W230" i="41"/>
  <c r="O230" i="41"/>
  <c r="J230" i="41"/>
  <c r="G230" i="41"/>
  <c r="W229" i="41"/>
  <c r="O229" i="41"/>
  <c r="J229" i="41"/>
  <c r="G229" i="41"/>
  <c r="W228" i="41"/>
  <c r="O228" i="41"/>
  <c r="J228" i="41"/>
  <c r="G228" i="41"/>
  <c r="W227" i="41"/>
  <c r="O227" i="41"/>
  <c r="J227" i="41"/>
  <c r="G227" i="41"/>
  <c r="W226" i="41"/>
  <c r="O226" i="41"/>
  <c r="J226" i="41"/>
  <c r="G226" i="41"/>
  <c r="W225" i="41"/>
  <c r="O225" i="41"/>
  <c r="J225" i="41"/>
  <c r="G225" i="41"/>
  <c r="W224" i="41"/>
  <c r="O224" i="41"/>
  <c r="J224" i="41"/>
  <c r="G224" i="41"/>
  <c r="E10" i="41"/>
  <c r="E9" i="41"/>
  <c r="E8" i="41"/>
  <c r="E7" i="41"/>
  <c r="E6" i="41"/>
  <c r="H6" i="41" s="1"/>
  <c r="AF5" i="41"/>
  <c r="AE4" i="41"/>
  <c r="AF4" i="41" s="1"/>
  <c r="AC5" i="40"/>
  <c r="AC4" i="40"/>
  <c r="AE3" i="40"/>
  <c r="AF3" i="40" s="1"/>
  <c r="B11" i="41" l="1"/>
  <c r="AG3" i="40"/>
  <c r="AE4" i="40"/>
  <c r="AB6" i="40"/>
  <c r="AC3" i="40"/>
  <c r="M452" i="41"/>
  <c r="AF6" i="41"/>
  <c r="AF7" i="41" s="1"/>
  <c r="AF8" i="41" s="1"/>
  <c r="AF9" i="41" s="1"/>
  <c r="M496" i="41"/>
  <c r="M488" i="41"/>
  <c r="M480" i="41"/>
  <c r="M472" i="41"/>
  <c r="M464" i="41"/>
  <c r="M456" i="41"/>
  <c r="M448" i="41"/>
  <c r="M440" i="41"/>
  <c r="M432" i="41"/>
  <c r="M424" i="41"/>
  <c r="M416" i="41"/>
  <c r="M408" i="41"/>
  <c r="M400" i="41"/>
  <c r="M392" i="41"/>
  <c r="M384" i="41"/>
  <c r="M376" i="41"/>
  <c r="M495" i="41"/>
  <c r="M487" i="41"/>
  <c r="M479" i="41"/>
  <c r="M471" i="41"/>
  <c r="M463" i="41"/>
  <c r="M455" i="41"/>
  <c r="M447" i="41"/>
  <c r="M439" i="41"/>
  <c r="M431" i="41"/>
  <c r="M423" i="41"/>
  <c r="M415" i="41"/>
  <c r="M407" i="41"/>
  <c r="M399" i="41"/>
  <c r="M391" i="41"/>
  <c r="M383" i="41"/>
  <c r="M375" i="41"/>
  <c r="M371" i="41"/>
  <c r="M367" i="41"/>
  <c r="M363" i="41"/>
  <c r="M359" i="41"/>
  <c r="J363" i="3" s="1"/>
  <c r="M355" i="41"/>
  <c r="J359" i="3" s="1"/>
  <c r="M351" i="41"/>
  <c r="J355" i="3" s="1"/>
  <c r="M347" i="41"/>
  <c r="J351" i="3" s="1"/>
  <c r="M343" i="41"/>
  <c r="J347" i="3" s="1"/>
  <c r="M339" i="41"/>
  <c r="J343" i="3" s="1"/>
  <c r="M335" i="41"/>
  <c r="J339" i="3" s="1"/>
  <c r="M331" i="41"/>
  <c r="J335" i="3" s="1"/>
  <c r="M327" i="41"/>
  <c r="J331" i="3" s="1"/>
  <c r="M323" i="41"/>
  <c r="J327" i="3" s="1"/>
  <c r="M319" i="41"/>
  <c r="J323" i="3" s="1"/>
  <c r="M315" i="41"/>
  <c r="J319" i="3" s="1"/>
  <c r="M311" i="41"/>
  <c r="J315" i="3" s="1"/>
  <c r="M307" i="41"/>
  <c r="J311" i="3" s="1"/>
  <c r="M303" i="41"/>
  <c r="J307" i="3" s="1"/>
  <c r="M299" i="41"/>
  <c r="J303" i="3" s="1"/>
  <c r="M295" i="41"/>
  <c r="J299" i="3" s="1"/>
  <c r="M291" i="41"/>
  <c r="J295" i="3" s="1"/>
  <c r="M287" i="41"/>
  <c r="J291" i="3" s="1"/>
  <c r="M283" i="41"/>
  <c r="J287" i="3" s="1"/>
  <c r="M279" i="41"/>
  <c r="J283" i="3" s="1"/>
  <c r="M275" i="41"/>
  <c r="J279" i="3" s="1"/>
  <c r="M271" i="41"/>
  <c r="J275" i="3" s="1"/>
  <c r="M267" i="41"/>
  <c r="J271" i="3" s="1"/>
  <c r="M263" i="41"/>
  <c r="J267" i="3" s="1"/>
  <c r="M259" i="41"/>
  <c r="J263" i="3" s="1"/>
  <c r="M255" i="41"/>
  <c r="J259" i="3" s="1"/>
  <c r="M251" i="41"/>
  <c r="J255" i="3" s="1"/>
  <c r="M247" i="41"/>
  <c r="J251" i="3" s="1"/>
  <c r="M243" i="41"/>
  <c r="J247" i="3" s="1"/>
  <c r="M239" i="41"/>
  <c r="J243" i="3" s="1"/>
  <c r="M235" i="41"/>
  <c r="J239" i="3" s="1"/>
  <c r="M231" i="41"/>
  <c r="J235" i="3" s="1"/>
  <c r="M227" i="41"/>
  <c r="J231" i="3" s="1"/>
  <c r="M494" i="41"/>
  <c r="M486" i="41"/>
  <c r="M478" i="41"/>
  <c r="M470" i="41"/>
  <c r="M462" i="41"/>
  <c r="M454" i="41"/>
  <c r="M446" i="41"/>
  <c r="M438" i="41"/>
  <c r="M430" i="41"/>
  <c r="M422" i="41"/>
  <c r="M414" i="41"/>
  <c r="M406" i="41"/>
  <c r="M398" i="41"/>
  <c r="M390" i="41"/>
  <c r="M382" i="41"/>
  <c r="M493" i="41"/>
  <c r="M485" i="41"/>
  <c r="M477" i="41"/>
  <c r="M469" i="41"/>
  <c r="M461" i="41"/>
  <c r="M453" i="41"/>
  <c r="M445" i="41"/>
  <c r="M437" i="41"/>
  <c r="M429" i="41"/>
  <c r="M421" i="41"/>
  <c r="M413" i="41"/>
  <c r="M405" i="41"/>
  <c r="M397" i="41"/>
  <c r="M389" i="41"/>
  <c r="M381" i="41"/>
  <c r="M374" i="41"/>
  <c r="M370" i="41"/>
  <c r="M366" i="41"/>
  <c r="M362" i="41"/>
  <c r="M358" i="41"/>
  <c r="J362" i="3" s="1"/>
  <c r="M354" i="41"/>
  <c r="J358" i="3" s="1"/>
  <c r="M350" i="41"/>
  <c r="J354" i="3" s="1"/>
  <c r="M346" i="41"/>
  <c r="J350" i="3" s="1"/>
  <c r="M342" i="41"/>
  <c r="J346" i="3" s="1"/>
  <c r="M338" i="41"/>
  <c r="J342" i="3" s="1"/>
  <c r="M334" i="41"/>
  <c r="J338" i="3" s="1"/>
  <c r="M330" i="41"/>
  <c r="J334" i="3" s="1"/>
  <c r="M326" i="41"/>
  <c r="J330" i="3" s="1"/>
  <c r="M322" i="41"/>
  <c r="J326" i="3" s="1"/>
  <c r="M318" i="41"/>
  <c r="J322" i="3" s="1"/>
  <c r="M314" i="41"/>
  <c r="J318" i="3" s="1"/>
  <c r="M310" i="41"/>
  <c r="J314" i="3" s="1"/>
  <c r="M306" i="41"/>
  <c r="J310" i="3" s="1"/>
  <c r="M302" i="41"/>
  <c r="J306" i="3" s="1"/>
  <c r="M298" i="41"/>
  <c r="J302" i="3" s="1"/>
  <c r="M294" i="41"/>
  <c r="J298" i="3" s="1"/>
  <c r="M290" i="41"/>
  <c r="J294" i="3" s="1"/>
  <c r="M286" i="41"/>
  <c r="J290" i="3" s="1"/>
  <c r="M526" i="41"/>
  <c r="M525" i="41"/>
  <c r="M524" i="41"/>
  <c r="M523" i="41"/>
  <c r="M522" i="41"/>
  <c r="M521" i="41"/>
  <c r="M520" i="41"/>
  <c r="M519" i="41"/>
  <c r="M518" i="41"/>
  <c r="M517" i="41"/>
  <c r="M516" i="41"/>
  <c r="M515" i="41"/>
  <c r="M514" i="41"/>
  <c r="M513" i="41"/>
  <c r="M512" i="41"/>
  <c r="M511" i="41"/>
  <c r="M510" i="41"/>
  <c r="M509" i="41"/>
  <c r="M508" i="41"/>
  <c r="M507" i="41"/>
  <c r="M506" i="41"/>
  <c r="M505" i="41"/>
  <c r="M504" i="41"/>
  <c r="M503" i="41"/>
  <c r="M502" i="41"/>
  <c r="M501" i="41"/>
  <c r="M500" i="41"/>
  <c r="M499" i="41"/>
  <c r="M491" i="41"/>
  <c r="M483" i="41"/>
  <c r="M475" i="41"/>
  <c r="M467" i="41"/>
  <c r="M459" i="41"/>
  <c r="M451" i="41"/>
  <c r="M443" i="41"/>
  <c r="M435" i="41"/>
  <c r="M427" i="41"/>
  <c r="M419" i="41"/>
  <c r="M411" i="41"/>
  <c r="M403" i="41"/>
  <c r="M395" i="41"/>
  <c r="M387" i="41"/>
  <c r="M379" i="41"/>
  <c r="M373" i="41"/>
  <c r="M369" i="41"/>
  <c r="M365" i="41"/>
  <c r="M361" i="41"/>
  <c r="M357" i="41"/>
  <c r="J361" i="3" s="1"/>
  <c r="M353" i="41"/>
  <c r="J357" i="3" s="1"/>
  <c r="L357" i="3" s="1"/>
  <c r="M349" i="41"/>
  <c r="J353" i="3" s="1"/>
  <c r="M345" i="41"/>
  <c r="J349" i="3" s="1"/>
  <c r="M341" i="41"/>
  <c r="J345" i="3" s="1"/>
  <c r="M337" i="41"/>
  <c r="J341" i="3" s="1"/>
  <c r="M333" i="41"/>
  <c r="J337" i="3" s="1"/>
  <c r="M329" i="41"/>
  <c r="J333" i="3" s="1"/>
  <c r="M325" i="41"/>
  <c r="J329" i="3" s="1"/>
  <c r="M321" i="41"/>
  <c r="J325" i="3" s="1"/>
  <c r="M317" i="41"/>
  <c r="J321" i="3" s="1"/>
  <c r="M498" i="41"/>
  <c r="M490" i="41"/>
  <c r="M482" i="41"/>
  <c r="M474" i="41"/>
  <c r="M466" i="41"/>
  <c r="M458" i="41"/>
  <c r="M450" i="41"/>
  <c r="M442" i="41"/>
  <c r="M434" i="41"/>
  <c r="M426" i="41"/>
  <c r="M418" i="41"/>
  <c r="M410" i="41"/>
  <c r="M402" i="41"/>
  <c r="M394" i="41"/>
  <c r="M386" i="41"/>
  <c r="M378" i="41"/>
  <c r="M497" i="41"/>
  <c r="M465" i="41"/>
  <c r="M433" i="41"/>
  <c r="M401" i="41"/>
  <c r="M348" i="41"/>
  <c r="J352" i="3" s="1"/>
  <c r="M316" i="41"/>
  <c r="J320" i="3" s="1"/>
  <c r="M305" i="41"/>
  <c r="J309" i="3" s="1"/>
  <c r="M300" i="41"/>
  <c r="J304" i="3" s="1"/>
  <c r="M289" i="41"/>
  <c r="J293" i="3" s="1"/>
  <c r="M284" i="41"/>
  <c r="J288" i="3" s="1"/>
  <c r="M270" i="41"/>
  <c r="J274" i="3" s="1"/>
  <c r="M261" i="41"/>
  <c r="J265" i="3" s="1"/>
  <c r="M252" i="41"/>
  <c r="J256" i="3" s="1"/>
  <c r="M238" i="41"/>
  <c r="J242" i="3" s="1"/>
  <c r="M229" i="41"/>
  <c r="J233" i="3" s="1"/>
  <c r="M492" i="41"/>
  <c r="M460" i="41"/>
  <c r="M428" i="41"/>
  <c r="M396" i="41"/>
  <c r="M360" i="41"/>
  <c r="M328" i="41"/>
  <c r="J332" i="3" s="1"/>
  <c r="M274" i="41"/>
  <c r="J278" i="3" s="1"/>
  <c r="M265" i="41"/>
  <c r="J269" i="3" s="1"/>
  <c r="M256" i="41"/>
  <c r="J260" i="3" s="1"/>
  <c r="M242" i="41"/>
  <c r="J246" i="3" s="1"/>
  <c r="M233" i="41"/>
  <c r="J237" i="3" s="1"/>
  <c r="M224" i="41"/>
  <c r="J228" i="3" s="1"/>
  <c r="M489" i="41"/>
  <c r="M457" i="41"/>
  <c r="M425" i="41"/>
  <c r="M393" i="41"/>
  <c r="M372" i="41"/>
  <c r="M340" i="41"/>
  <c r="J344" i="3" s="1"/>
  <c r="M309" i="41"/>
  <c r="J313" i="3" s="1"/>
  <c r="M304" i="41"/>
  <c r="J308" i="3" s="1"/>
  <c r="M293" i="41"/>
  <c r="J297" i="3" s="1"/>
  <c r="M288" i="41"/>
  <c r="J292" i="3" s="1"/>
  <c r="M278" i="41"/>
  <c r="J282" i="3" s="1"/>
  <c r="M269" i="41"/>
  <c r="J273" i="3" s="1"/>
  <c r="M260" i="41"/>
  <c r="J264" i="3" s="1"/>
  <c r="M246" i="41"/>
  <c r="J250" i="3" s="1"/>
  <c r="M237" i="41"/>
  <c r="J241" i="3" s="1"/>
  <c r="M228" i="41"/>
  <c r="J232" i="3" s="1"/>
  <c r="M476" i="41"/>
  <c r="M444" i="41"/>
  <c r="M412" i="41"/>
  <c r="M380" i="41"/>
  <c r="M344" i="41"/>
  <c r="J348" i="3" s="1"/>
  <c r="M281" i="41"/>
  <c r="J285" i="3" s="1"/>
  <c r="M272" i="41"/>
  <c r="J276" i="3" s="1"/>
  <c r="M258" i="41"/>
  <c r="J262" i="3" s="1"/>
  <c r="M249" i="41"/>
  <c r="J253" i="3" s="1"/>
  <c r="M240" i="41"/>
  <c r="J244" i="3" s="1"/>
  <c r="M226" i="41"/>
  <c r="J230" i="3" s="1"/>
  <c r="M473" i="41"/>
  <c r="M441" i="41"/>
  <c r="M409" i="41"/>
  <c r="M377" i="41"/>
  <c r="M356" i="41"/>
  <c r="J360" i="3" s="1"/>
  <c r="M324" i="41"/>
  <c r="J328" i="3" s="1"/>
  <c r="M312" i="41"/>
  <c r="J316" i="3" s="1"/>
  <c r="M301" i="41"/>
  <c r="J305" i="3" s="1"/>
  <c r="M296" i="41"/>
  <c r="J300" i="3" s="1"/>
  <c r="M285" i="41"/>
  <c r="J289" i="3" s="1"/>
  <c r="M276" i="41"/>
  <c r="J280" i="3" s="1"/>
  <c r="M262" i="41"/>
  <c r="J266" i="3" s="1"/>
  <c r="M253" i="41"/>
  <c r="J257" i="3" s="1"/>
  <c r="M244" i="41"/>
  <c r="J248" i="3" s="1"/>
  <c r="M230" i="41"/>
  <c r="J234" i="3" s="1"/>
  <c r="M449" i="41"/>
  <c r="M352" i="41"/>
  <c r="J356" i="3" s="1"/>
  <c r="L356" i="3" s="1"/>
  <c r="M268" i="41"/>
  <c r="J272" i="3" s="1"/>
  <c r="M436" i="41"/>
  <c r="M336" i="41"/>
  <c r="J340" i="3" s="1"/>
  <c r="M308" i="41"/>
  <c r="J312" i="3" s="1"/>
  <c r="M280" i="41"/>
  <c r="J284" i="3" s="1"/>
  <c r="M236" i="41"/>
  <c r="J240" i="3" s="1"/>
  <c r="M420" i="41"/>
  <c r="M273" i="41"/>
  <c r="J277" i="3" s="1"/>
  <c r="M254" i="41"/>
  <c r="J258" i="3" s="1"/>
  <c r="M248" i="41"/>
  <c r="J252" i="3" s="1"/>
  <c r="M417" i="41"/>
  <c r="M364" i="41"/>
  <c r="M320" i="41"/>
  <c r="J324" i="3" s="1"/>
  <c r="M313" i="41"/>
  <c r="J317" i="3" s="1"/>
  <c r="M292" i="41"/>
  <c r="J296" i="3" s="1"/>
  <c r="M266" i="41"/>
  <c r="J270" i="3" s="1"/>
  <c r="M241" i="41"/>
  <c r="J245" i="3" s="1"/>
  <c r="M484" i="41"/>
  <c r="M404" i="41"/>
  <c r="M234" i="41"/>
  <c r="J238" i="3" s="1"/>
  <c r="M481" i="41"/>
  <c r="M388" i="41"/>
  <c r="M297" i="41"/>
  <c r="J301" i="3" s="1"/>
  <c r="M277" i="41"/>
  <c r="J281" i="3" s="1"/>
  <c r="M468" i="41"/>
  <c r="M385" i="41"/>
  <c r="M368" i="41"/>
  <c r="M332" i="41"/>
  <c r="J336" i="3" s="1"/>
  <c r="M282" i="41"/>
  <c r="J286" i="3" s="1"/>
  <c r="M264" i="41"/>
  <c r="J268" i="3" s="1"/>
  <c r="M257" i="41"/>
  <c r="J261" i="3" s="1"/>
  <c r="M245" i="41"/>
  <c r="J249" i="3" s="1"/>
  <c r="M250" i="41"/>
  <c r="J254" i="3" s="1"/>
  <c r="M232" i="41"/>
  <c r="J236" i="3" s="1"/>
  <c r="M225" i="41"/>
  <c r="J229" i="3" s="1"/>
  <c r="AC6" i="40" l="1"/>
  <c r="B14" i="41"/>
  <c r="Y14" i="41" s="1"/>
  <c r="K18" i="3" s="1"/>
  <c r="H359" i="3"/>
  <c r="I358" i="3"/>
  <c r="F359" i="3"/>
  <c r="G359" i="3"/>
  <c r="D358" i="3"/>
  <c r="AG4" i="40"/>
  <c r="AF4" i="40"/>
  <c r="AE5" i="40"/>
  <c r="AE6" i="40" s="1"/>
  <c r="AE7" i="40" s="1"/>
  <c r="AE8" i="40" s="1"/>
  <c r="AE9" i="40" s="1"/>
  <c r="AE10" i="40" s="1"/>
  <c r="AE11" i="40" s="1"/>
  <c r="AE12" i="40" s="1"/>
  <c r="AE13" i="40" s="1"/>
  <c r="AE14" i="40" s="1"/>
  <c r="AE15" i="40" s="1"/>
  <c r="AE16" i="40" s="1"/>
  <c r="AE17" i="40" s="1"/>
  <c r="AE18" i="40" s="1"/>
  <c r="AE19" i="40" s="1"/>
  <c r="AE20" i="40" s="1"/>
  <c r="AE21" i="40" s="1"/>
  <c r="AE22" i="40" s="1"/>
  <c r="AE23" i="40" s="1"/>
  <c r="AE24" i="40" s="1"/>
  <c r="AE25" i="40" s="1"/>
  <c r="AE26" i="40" s="1"/>
  <c r="AE27" i="40" s="1"/>
  <c r="AE28" i="40" s="1"/>
  <c r="AE29" i="40" s="1"/>
  <c r="AE30" i="40" s="1"/>
  <c r="AE31" i="40" s="1"/>
  <c r="AE32" i="40" s="1"/>
  <c r="AE33" i="40" s="1"/>
  <c r="AE34" i="40" s="1"/>
  <c r="AE35" i="40" s="1"/>
  <c r="AE36" i="40" s="1"/>
  <c r="AE37" i="40" s="1"/>
  <c r="AE38" i="40" s="1"/>
  <c r="AE39" i="40" s="1"/>
  <c r="AE40" i="40" s="1"/>
  <c r="AE41" i="40" s="1"/>
  <c r="AE42" i="40" s="1"/>
  <c r="AE43" i="40" s="1"/>
  <c r="AE44" i="40" s="1"/>
  <c r="AE45" i="40" s="1"/>
  <c r="AE46" i="40" s="1"/>
  <c r="AE47" i="40" s="1"/>
  <c r="AE48" i="40" s="1"/>
  <c r="AE49" i="40" s="1"/>
  <c r="AE50" i="40" s="1"/>
  <c r="AE51" i="40" s="1"/>
  <c r="AE52" i="40" s="1"/>
  <c r="AE53" i="40" s="1"/>
  <c r="AE54" i="40" s="1"/>
  <c r="AE55" i="40" s="1"/>
  <c r="AE56" i="40" s="1"/>
  <c r="AE57" i="40" s="1"/>
  <c r="AE58" i="40" s="1"/>
  <c r="AE59" i="40" s="1"/>
  <c r="AE60" i="40" s="1"/>
  <c r="AE61" i="40" s="1"/>
  <c r="AE62" i="40" s="1"/>
  <c r="AE63" i="40" s="1"/>
  <c r="AE64" i="40" s="1"/>
  <c r="AE65" i="40" s="1"/>
  <c r="AE66" i="40" s="1"/>
  <c r="AE67" i="40" s="1"/>
  <c r="AE68" i="40" s="1"/>
  <c r="AE69" i="40" s="1"/>
  <c r="AE70" i="40" s="1"/>
  <c r="AE71" i="40" s="1"/>
  <c r="AE72" i="40" s="1"/>
  <c r="AE73" i="40" s="1"/>
  <c r="AE74" i="40" s="1"/>
  <c r="AE75" i="40" s="1"/>
  <c r="AE76" i="40" s="1"/>
  <c r="AE77" i="40" s="1"/>
  <c r="AE78" i="40" s="1"/>
  <c r="AE79" i="40" s="1"/>
  <c r="AE80" i="40" s="1"/>
  <c r="AE81" i="40" s="1"/>
  <c r="AE82" i="40" s="1"/>
  <c r="AE83" i="40" s="1"/>
  <c r="AE84" i="40" s="1"/>
  <c r="AE85" i="40" s="1"/>
  <c r="AE86" i="40" s="1"/>
  <c r="AE87" i="40" s="1"/>
  <c r="AE88" i="40" s="1"/>
  <c r="AE89" i="40" s="1"/>
  <c r="AE90" i="40" s="1"/>
  <c r="AE91" i="40" s="1"/>
  <c r="AE92" i="40" s="1"/>
  <c r="AE93" i="40" s="1"/>
  <c r="AE94" i="40" s="1"/>
  <c r="AE95" i="40" s="1"/>
  <c r="AE96" i="40" s="1"/>
  <c r="AE97" i="40" s="1"/>
  <c r="AE98" i="40" s="1"/>
  <c r="AE99" i="40" s="1"/>
  <c r="AE100" i="40" s="1"/>
  <c r="AE101" i="40" s="1"/>
  <c r="AE102" i="40" s="1"/>
  <c r="AE103" i="40" s="1"/>
  <c r="AE104" i="40" s="1"/>
  <c r="AE105" i="40" s="1"/>
  <c r="AE106" i="40" s="1"/>
  <c r="AE107" i="40" s="1"/>
  <c r="AE108" i="40" s="1"/>
  <c r="AE109" i="40" s="1"/>
  <c r="AE110" i="40" s="1"/>
  <c r="AE111" i="40" s="1"/>
  <c r="AE112" i="40" s="1"/>
  <c r="AE113" i="40" s="1"/>
  <c r="AE114" i="40" s="1"/>
  <c r="AE115" i="40" s="1"/>
  <c r="AE116" i="40" s="1"/>
  <c r="AE117" i="40" s="1"/>
  <c r="AE118" i="40" s="1"/>
  <c r="AE119" i="40" s="1"/>
  <c r="AE120" i="40" s="1"/>
  <c r="AE121" i="40" s="1"/>
  <c r="AE122" i="40" s="1"/>
  <c r="AE123" i="40" s="1"/>
  <c r="AE124" i="40" s="1"/>
  <c r="AE125" i="40" s="1"/>
  <c r="AE126" i="40" s="1"/>
  <c r="AE127" i="40" s="1"/>
  <c r="AE128" i="40" s="1"/>
  <c r="AE129" i="40" s="1"/>
  <c r="AE130" i="40" s="1"/>
  <c r="AE131" i="40" s="1"/>
  <c r="AE132" i="40" s="1"/>
  <c r="AE133" i="40" s="1"/>
  <c r="AE134" i="40" s="1"/>
  <c r="AE135" i="40" s="1"/>
  <c r="AE136" i="40" s="1"/>
  <c r="AE137" i="40" s="1"/>
  <c r="AE138" i="40" s="1"/>
  <c r="AE139" i="40" s="1"/>
  <c r="AE140" i="40" s="1"/>
  <c r="AE141" i="40" s="1"/>
  <c r="AE142" i="40" s="1"/>
  <c r="AE143" i="40" s="1"/>
  <c r="AE144" i="40" s="1"/>
  <c r="AE145" i="40" s="1"/>
  <c r="AE146" i="40" s="1"/>
  <c r="AE147" i="40" s="1"/>
  <c r="AE148" i="40" s="1"/>
  <c r="AE149" i="40" s="1"/>
  <c r="AE150" i="40" s="1"/>
  <c r="AE151" i="40" s="1"/>
  <c r="AE152" i="40" s="1"/>
  <c r="AE153" i="40" s="1"/>
  <c r="AE154" i="40" s="1"/>
  <c r="AE155" i="40" s="1"/>
  <c r="AE156" i="40" s="1"/>
  <c r="AE157" i="40" s="1"/>
  <c r="AE158" i="40" s="1"/>
  <c r="AE159" i="40" s="1"/>
  <c r="AE160" i="40" s="1"/>
  <c r="AE161" i="40" s="1"/>
  <c r="AE162" i="40" s="1"/>
  <c r="AE163" i="40" s="1"/>
  <c r="AE164" i="40" s="1"/>
  <c r="AE165" i="40" s="1"/>
  <c r="AE166" i="40" s="1"/>
  <c r="AE167" i="40" s="1"/>
  <c r="AE168" i="40" s="1"/>
  <c r="AE169" i="40" s="1"/>
  <c r="AE170" i="40" s="1"/>
  <c r="AE171" i="40" s="1"/>
  <c r="AE172" i="40" s="1"/>
  <c r="AE173" i="40" s="1"/>
  <c r="AE174" i="40" s="1"/>
  <c r="AE175" i="40" s="1"/>
  <c r="AE176" i="40" s="1"/>
  <c r="AE177" i="40" s="1"/>
  <c r="AE178" i="40" s="1"/>
  <c r="AE179" i="40" s="1"/>
  <c r="AE180" i="40" s="1"/>
  <c r="AE181" i="40" s="1"/>
  <c r="AE182" i="40" s="1"/>
  <c r="AE183" i="40" s="1"/>
  <c r="AE184" i="40" s="1"/>
  <c r="AE185" i="40" s="1"/>
  <c r="AE186" i="40" s="1"/>
  <c r="AE187" i="40" s="1"/>
  <c r="AE188" i="40" s="1"/>
  <c r="AE189" i="40" s="1"/>
  <c r="AE190" i="40" s="1"/>
  <c r="AE191" i="40" s="1"/>
  <c r="AE192" i="40" s="1"/>
  <c r="AE193" i="40" s="1"/>
  <c r="AE194" i="40" s="1"/>
  <c r="AE195" i="40" s="1"/>
  <c r="AE196" i="40" s="1"/>
  <c r="AE197" i="40" s="1"/>
  <c r="AE198" i="40" s="1"/>
  <c r="AE199" i="40" s="1"/>
  <c r="AE200" i="40" s="1"/>
  <c r="AE201" i="40" s="1"/>
  <c r="AE202" i="40" s="1"/>
  <c r="AE203" i="40" s="1"/>
  <c r="AE204" i="40" s="1"/>
  <c r="AE205" i="40" s="1"/>
  <c r="AE206" i="40" s="1"/>
  <c r="AE207" i="40" s="1"/>
  <c r="AE208" i="40" s="1"/>
  <c r="AE209" i="40" s="1"/>
  <c r="AE210" i="40" s="1"/>
  <c r="AE211" i="40" s="1"/>
  <c r="AE212" i="40" s="1"/>
  <c r="AE213" i="40" s="1"/>
  <c r="AE214" i="40" s="1"/>
  <c r="AE215" i="40" s="1"/>
  <c r="AE216" i="40" s="1"/>
  <c r="AE217" i="40" s="1"/>
  <c r="AE218" i="40" s="1"/>
  <c r="AE219" i="40" s="1"/>
  <c r="AE220" i="40" s="1"/>
  <c r="AE221" i="40" s="1"/>
  <c r="AE222" i="40" s="1"/>
  <c r="AE223" i="40" s="1"/>
  <c r="AE224" i="40" s="1"/>
  <c r="AE225" i="40" s="1"/>
  <c r="AE226" i="40" s="1"/>
  <c r="AE227" i="40" s="1"/>
  <c r="AE228" i="40" s="1"/>
  <c r="AE229" i="40" s="1"/>
  <c r="AE230" i="40" s="1"/>
  <c r="AE231" i="40" s="1"/>
  <c r="AE232" i="40" s="1"/>
  <c r="AE233" i="40" s="1"/>
  <c r="AE234" i="40" s="1"/>
  <c r="AE235" i="40" s="1"/>
  <c r="AE236" i="40" s="1"/>
  <c r="AE237" i="40" s="1"/>
  <c r="AE238" i="40" s="1"/>
  <c r="AE239" i="40" s="1"/>
  <c r="AE240" i="40" s="1"/>
  <c r="AE241" i="40" s="1"/>
  <c r="AE242" i="40" s="1"/>
  <c r="AE243" i="40" s="1"/>
  <c r="AE244" i="40" s="1"/>
  <c r="AE245" i="40" s="1"/>
  <c r="AE246" i="40" s="1"/>
  <c r="AE247" i="40" s="1"/>
  <c r="AE248" i="40" s="1"/>
  <c r="AE249" i="40" s="1"/>
  <c r="AE250" i="40" s="1"/>
  <c r="AE251" i="40" s="1"/>
  <c r="AE252" i="40" s="1"/>
  <c r="AE253" i="40" s="1"/>
  <c r="AE254" i="40" s="1"/>
  <c r="AE255" i="40" s="1"/>
  <c r="AE256" i="40" s="1"/>
  <c r="AE257" i="40" s="1"/>
  <c r="AE258" i="40" s="1"/>
  <c r="AE259" i="40" s="1"/>
  <c r="AE260" i="40" s="1"/>
  <c r="AE261" i="40" s="1"/>
  <c r="AE262" i="40" s="1"/>
  <c r="AE263" i="40" s="1"/>
  <c r="AE264" i="40" s="1"/>
  <c r="AE265" i="40" s="1"/>
  <c r="AE266" i="40" s="1"/>
  <c r="AE267" i="40" s="1"/>
  <c r="AE268" i="40" s="1"/>
  <c r="AE269" i="40" s="1"/>
  <c r="AE270" i="40" s="1"/>
  <c r="AE271" i="40" s="1"/>
  <c r="AE272" i="40" s="1"/>
  <c r="AE273" i="40" s="1"/>
  <c r="AE274" i="40" s="1"/>
  <c r="AE275" i="40" s="1"/>
  <c r="AE276" i="40" s="1"/>
  <c r="AE277" i="40" s="1"/>
  <c r="AE278" i="40" s="1"/>
  <c r="AE279" i="40" s="1"/>
  <c r="AE280" i="40" s="1"/>
  <c r="AE281" i="40" s="1"/>
  <c r="AE282" i="40" s="1"/>
  <c r="AE283" i="40" s="1"/>
  <c r="AE284" i="40" s="1"/>
  <c r="AE285" i="40" s="1"/>
  <c r="AE286" i="40" s="1"/>
  <c r="AE287" i="40" s="1"/>
  <c r="AE288" i="40" s="1"/>
  <c r="AE289" i="40" s="1"/>
  <c r="AE290" i="40" s="1"/>
  <c r="AE291" i="40" s="1"/>
  <c r="AE292" i="40" s="1"/>
  <c r="AE293" i="40" s="1"/>
  <c r="AE294" i="40" s="1"/>
  <c r="AE295" i="40" s="1"/>
  <c r="AE296" i="40" s="1"/>
  <c r="AE297" i="40" s="1"/>
  <c r="AE298" i="40" s="1"/>
  <c r="AE299" i="40" s="1"/>
  <c r="AE300" i="40" s="1"/>
  <c r="AE301" i="40" s="1"/>
  <c r="AE302" i="40" s="1"/>
  <c r="AE303" i="40" s="1"/>
  <c r="AE304" i="40" s="1"/>
  <c r="AE305" i="40" s="1"/>
  <c r="AE306" i="40" s="1"/>
  <c r="AE307" i="40" s="1"/>
  <c r="AE308" i="40" s="1"/>
  <c r="AE309" i="40" s="1"/>
  <c r="AE310" i="40" s="1"/>
  <c r="AE311" i="40" s="1"/>
  <c r="AE312" i="40" s="1"/>
  <c r="AE313" i="40" s="1"/>
  <c r="AE314" i="40" s="1"/>
  <c r="AE315" i="40" s="1"/>
  <c r="AE316" i="40" s="1"/>
  <c r="AE317" i="40" s="1"/>
  <c r="AE318" i="40" s="1"/>
  <c r="AE319" i="40" s="1"/>
  <c r="AE320" i="40" s="1"/>
  <c r="AE321" i="40" s="1"/>
  <c r="AE322" i="40" s="1"/>
  <c r="AE323" i="40" s="1"/>
  <c r="AE324" i="40" s="1"/>
  <c r="AE325" i="40" s="1"/>
  <c r="AE326" i="40" s="1"/>
  <c r="AE327" i="40" s="1"/>
  <c r="AE328" i="40" s="1"/>
  <c r="AE329" i="40" s="1"/>
  <c r="AE330" i="40" s="1"/>
  <c r="AE331" i="40" s="1"/>
  <c r="AE332" i="40" s="1"/>
  <c r="AE333" i="40" s="1"/>
  <c r="AE334" i="40" s="1"/>
  <c r="AE335" i="40" s="1"/>
  <c r="AE336" i="40" s="1"/>
  <c r="AE337" i="40" s="1"/>
  <c r="AE338" i="40" s="1"/>
  <c r="AE339" i="40" s="1"/>
  <c r="AE340" i="40" s="1"/>
  <c r="AE341" i="40" s="1"/>
  <c r="AE342" i="40" s="1"/>
  <c r="AE343" i="40" s="1"/>
  <c r="AE344" i="40" s="1"/>
  <c r="AE345" i="40" s="1"/>
  <c r="AE346" i="40" s="1"/>
  <c r="AE347" i="40" s="1"/>
  <c r="AE348" i="40" s="1"/>
  <c r="AE349" i="40" s="1"/>
  <c r="AE350" i="40" s="1"/>
  <c r="AE351" i="40" s="1"/>
  <c r="AE352" i="40" s="1"/>
  <c r="AE353" i="40" s="1"/>
  <c r="AE354" i="40" s="1"/>
  <c r="AE355" i="40" s="1"/>
  <c r="AE356" i="40" s="1"/>
  <c r="AE357" i="40" s="1"/>
  <c r="AE358" i="40" s="1"/>
  <c r="AE359" i="40" s="1"/>
  <c r="AE360" i="40" s="1"/>
  <c r="AE361" i="40" s="1"/>
  <c r="AE362" i="40" s="1"/>
  <c r="AE363" i="40" s="1"/>
  <c r="AE364" i="40" s="1"/>
  <c r="AE365" i="40" s="1"/>
  <c r="AE366" i="40" s="1"/>
  <c r="AE367" i="40" s="1"/>
  <c r="AE368" i="40" s="1"/>
  <c r="AE369" i="40" s="1"/>
  <c r="AE370" i="40" s="1"/>
  <c r="AE371" i="40" s="1"/>
  <c r="AE372" i="40" s="1"/>
  <c r="AE373" i="40" s="1"/>
  <c r="AE374" i="40" s="1"/>
  <c r="AE375" i="40" s="1"/>
  <c r="AE376" i="40" s="1"/>
  <c r="AE377" i="40" s="1"/>
  <c r="AE378" i="40" s="1"/>
  <c r="AE379" i="40" s="1"/>
  <c r="AE380" i="40" s="1"/>
  <c r="AE381" i="40" s="1"/>
  <c r="AE382" i="40" s="1"/>
  <c r="AE383" i="40" s="1"/>
  <c r="AE384" i="40" s="1"/>
  <c r="AE385" i="40" s="1"/>
  <c r="AE386" i="40" s="1"/>
  <c r="AE387" i="40" s="1"/>
  <c r="AE388" i="40" s="1"/>
  <c r="AE389" i="40" s="1"/>
  <c r="AE390" i="40" s="1"/>
  <c r="AE391" i="40" s="1"/>
  <c r="AE392" i="40" s="1"/>
  <c r="AE393" i="40" s="1"/>
  <c r="AE394" i="40" s="1"/>
  <c r="AE395" i="40" s="1"/>
  <c r="AE396" i="40" s="1"/>
  <c r="AE397" i="40" s="1"/>
  <c r="AE398" i="40" s="1"/>
  <c r="AE399" i="40" s="1"/>
  <c r="AE400" i="40" s="1"/>
  <c r="AE401" i="40" s="1"/>
  <c r="AE402" i="40" s="1"/>
  <c r="AE403" i="40" s="1"/>
  <c r="AE404" i="40" s="1"/>
  <c r="AE405" i="40" s="1"/>
  <c r="AE406" i="40" s="1"/>
  <c r="AE407" i="40" s="1"/>
  <c r="AE408" i="40" s="1"/>
  <c r="AE409" i="40" s="1"/>
  <c r="AE410" i="40" s="1"/>
  <c r="AE411" i="40" s="1"/>
  <c r="AE412" i="40" s="1"/>
  <c r="AE413" i="40" s="1"/>
  <c r="AE414" i="40" s="1"/>
  <c r="AE415" i="40" s="1"/>
  <c r="AE416" i="40" s="1"/>
  <c r="AE417" i="40" s="1"/>
  <c r="AE418" i="40" s="1"/>
  <c r="AE419" i="40" s="1"/>
  <c r="AE420" i="40" s="1"/>
  <c r="AE421" i="40" s="1"/>
  <c r="AE422" i="40" s="1"/>
  <c r="AE423" i="40" s="1"/>
  <c r="AE424" i="40" s="1"/>
  <c r="AE425" i="40" s="1"/>
  <c r="AE426" i="40" s="1"/>
  <c r="AE427" i="40" s="1"/>
  <c r="AE428" i="40" s="1"/>
  <c r="AE429" i="40" s="1"/>
  <c r="AE430" i="40" s="1"/>
  <c r="AE431" i="40" s="1"/>
  <c r="AE432" i="40" s="1"/>
  <c r="AE433" i="40" s="1"/>
  <c r="AE434" i="40" s="1"/>
  <c r="AE435" i="40" s="1"/>
  <c r="AE436" i="40" s="1"/>
  <c r="AE437" i="40" s="1"/>
  <c r="AE438" i="40" s="1"/>
  <c r="AE439" i="40" s="1"/>
  <c r="AE440" i="40" s="1"/>
  <c r="AE441" i="40" s="1"/>
  <c r="AE442" i="40" s="1"/>
  <c r="AE443" i="40" s="1"/>
  <c r="AE444" i="40" s="1"/>
  <c r="AE445" i="40" s="1"/>
  <c r="AE446" i="40" s="1"/>
  <c r="AE447" i="40" s="1"/>
  <c r="AE448" i="40" s="1"/>
  <c r="AE449" i="40" s="1"/>
  <c r="AE450" i="40" s="1"/>
  <c r="AE451" i="40" s="1"/>
  <c r="AE452" i="40" s="1"/>
  <c r="AE453" i="40" s="1"/>
  <c r="AE454" i="40" s="1"/>
  <c r="AE455" i="40" s="1"/>
  <c r="AE456" i="40" s="1"/>
  <c r="AE457" i="40" s="1"/>
  <c r="AE458" i="40" s="1"/>
  <c r="AE459" i="40" s="1"/>
  <c r="AE460" i="40" s="1"/>
  <c r="AE461" i="40" s="1"/>
  <c r="AE462" i="40" s="1"/>
  <c r="AE463" i="40" s="1"/>
  <c r="AE464" i="40" s="1"/>
  <c r="AE465" i="40" s="1"/>
  <c r="AE466" i="40" s="1"/>
  <c r="AE467" i="40" s="1"/>
  <c r="AE468" i="40" s="1"/>
  <c r="AE469" i="40" s="1"/>
  <c r="AE470" i="40" s="1"/>
  <c r="AE471" i="40" s="1"/>
  <c r="AE472" i="40" s="1"/>
  <c r="AE473" i="40" s="1"/>
  <c r="AE474" i="40" s="1"/>
  <c r="AE475" i="40" s="1"/>
  <c r="AE476" i="40" s="1"/>
  <c r="AE477" i="40" s="1"/>
  <c r="AE478" i="40" s="1"/>
  <c r="AE479" i="40" s="1"/>
  <c r="AE480" i="40" s="1"/>
  <c r="AE481" i="40" s="1"/>
  <c r="AE482" i="40" s="1"/>
  <c r="AE483" i="40" s="1"/>
  <c r="AE484" i="40" s="1"/>
  <c r="AE485" i="40" s="1"/>
  <c r="AE486" i="40" s="1"/>
  <c r="AE487" i="40" s="1"/>
  <c r="AE488" i="40" s="1"/>
  <c r="AE489" i="40" s="1"/>
  <c r="AE490" i="40" s="1"/>
  <c r="AE491" i="40" s="1"/>
  <c r="AE492" i="40" s="1"/>
  <c r="AE493" i="40" s="1"/>
  <c r="AE494" i="40" s="1"/>
  <c r="AE495" i="40" s="1"/>
  <c r="AE496" i="40" s="1"/>
  <c r="AE497" i="40" s="1"/>
  <c r="AE498" i="40" s="1"/>
  <c r="AE499" i="40" s="1"/>
  <c r="AE500" i="40" s="1"/>
  <c r="AE501" i="40" s="1"/>
  <c r="AE502" i="40" s="1"/>
  <c r="AE503" i="40" s="1"/>
  <c r="AE504" i="40" s="1"/>
  <c r="AE505" i="40" s="1"/>
  <c r="AE506" i="40" s="1"/>
  <c r="AE507" i="40" s="1"/>
  <c r="AE508" i="40" s="1"/>
  <c r="AE509" i="40" s="1"/>
  <c r="AE510" i="40" s="1"/>
  <c r="AE511" i="40" s="1"/>
  <c r="AE512" i="40" s="1"/>
  <c r="AE513" i="40" s="1"/>
  <c r="AE514" i="40" s="1"/>
  <c r="AE515" i="40" s="1"/>
  <c r="AE516" i="40" s="1"/>
  <c r="AE517" i="40" s="1"/>
  <c r="AE518" i="40" s="1"/>
  <c r="AE519" i="40" s="1"/>
  <c r="AE520" i="40" s="1"/>
  <c r="AE521" i="40" s="1"/>
  <c r="AE522" i="40" s="1"/>
  <c r="AE523" i="40" s="1"/>
  <c r="AE524" i="40" s="1"/>
  <c r="AE525" i="40" s="1"/>
  <c r="AE526" i="40" s="1"/>
  <c r="AE527" i="40" s="1"/>
  <c r="AE528" i="40" s="1"/>
  <c r="AE529" i="40" s="1"/>
  <c r="AE530" i="40" s="1"/>
  <c r="AE531" i="40" s="1"/>
  <c r="AE532" i="40" s="1"/>
  <c r="AE533" i="40" s="1"/>
  <c r="AE534" i="40" s="1"/>
  <c r="AE535" i="40" s="1"/>
  <c r="AE536" i="40" s="1"/>
  <c r="AE537" i="40" s="1"/>
  <c r="AE538" i="40" s="1"/>
  <c r="AE539" i="40" s="1"/>
  <c r="AE540" i="40" s="1"/>
  <c r="AE541" i="40" s="1"/>
  <c r="AE542" i="40" s="1"/>
  <c r="AE543" i="40" s="1"/>
  <c r="AE544" i="40" s="1"/>
  <c r="AE545" i="40" s="1"/>
  <c r="AE546" i="40" s="1"/>
  <c r="AE547" i="40" s="1"/>
  <c r="AE548" i="40" s="1"/>
  <c r="AE549" i="40" s="1"/>
  <c r="AE550" i="40" s="1"/>
  <c r="AE551" i="40" s="1"/>
  <c r="AE552" i="40" s="1"/>
  <c r="AE553" i="40" s="1"/>
  <c r="AE554" i="40" s="1"/>
  <c r="AE555" i="40" s="1"/>
  <c r="AE556" i="40" s="1"/>
  <c r="AE557" i="40" s="1"/>
  <c r="AE558" i="40" s="1"/>
  <c r="AE559" i="40" s="1"/>
  <c r="AE560" i="40" s="1"/>
  <c r="AE561" i="40" s="1"/>
  <c r="AE562" i="40" s="1"/>
  <c r="AE563" i="40" s="1"/>
  <c r="AE564" i="40" s="1"/>
  <c r="AE565" i="40" s="1"/>
  <c r="AE566" i="40" s="1"/>
  <c r="AE567" i="40" s="1"/>
  <c r="AE568" i="40" s="1"/>
  <c r="AE569" i="40" s="1"/>
  <c r="AE570" i="40" s="1"/>
  <c r="AE571" i="40" s="1"/>
  <c r="AE572" i="40" s="1"/>
  <c r="AE573" i="40" s="1"/>
  <c r="AE574" i="40" s="1"/>
  <c r="AE575" i="40" s="1"/>
  <c r="AE576" i="40" s="1"/>
  <c r="AE577" i="40" s="1"/>
  <c r="AE578" i="40" s="1"/>
  <c r="AE579" i="40" s="1"/>
  <c r="AE580" i="40" s="1"/>
  <c r="AE581" i="40" s="1"/>
  <c r="AE582" i="40" s="1"/>
  <c r="AE583" i="40" s="1"/>
  <c r="AE584" i="40" s="1"/>
  <c r="AE585" i="40" s="1"/>
  <c r="AE586" i="40" s="1"/>
  <c r="AE587" i="40" s="1"/>
  <c r="AE588" i="40" s="1"/>
  <c r="AE589" i="40" s="1"/>
  <c r="AE590" i="40" s="1"/>
  <c r="AE591" i="40" s="1"/>
  <c r="AE592" i="40" s="1"/>
  <c r="AE593" i="40" s="1"/>
  <c r="AE594" i="40" s="1"/>
  <c r="AE595" i="40" s="1"/>
  <c r="AE596" i="40" s="1"/>
  <c r="AE597" i="40" s="1"/>
  <c r="AE598" i="40" s="1"/>
  <c r="AE599" i="40" s="1"/>
  <c r="AE600" i="40" s="1"/>
  <c r="AE601" i="40" s="1"/>
  <c r="AE602" i="40" s="1"/>
  <c r="AE603" i="40" s="1"/>
  <c r="AE604" i="40" s="1"/>
  <c r="AE605" i="40" s="1"/>
  <c r="AE606" i="40" s="1"/>
  <c r="AE607" i="40" s="1"/>
  <c r="AE608" i="40" s="1"/>
  <c r="AE609" i="40" s="1"/>
  <c r="AE610" i="40" s="1"/>
  <c r="AE611" i="40" s="1"/>
  <c r="AE612" i="40" s="1"/>
  <c r="AE613" i="40" s="1"/>
  <c r="AE614" i="40" s="1"/>
  <c r="AE615" i="40" s="1"/>
  <c r="AE616" i="40" s="1"/>
  <c r="AE617" i="40" s="1"/>
  <c r="AE618" i="40" s="1"/>
  <c r="AE619" i="40" s="1"/>
  <c r="AE620" i="40" s="1"/>
  <c r="AE621" i="40" s="1"/>
  <c r="AE622" i="40" s="1"/>
  <c r="AE623" i="40" s="1"/>
  <c r="AE624" i="40" s="1"/>
  <c r="AE625" i="40" s="1"/>
  <c r="AE626" i="40" s="1"/>
  <c r="AE627" i="40" s="1"/>
  <c r="AE628" i="40" s="1"/>
  <c r="AE629" i="40" s="1"/>
  <c r="AE630" i="40" s="1"/>
  <c r="AE631" i="40" s="1"/>
  <c r="AE632" i="40" s="1"/>
  <c r="AE633" i="40" s="1"/>
  <c r="AE634" i="40" s="1"/>
  <c r="AE635" i="40" s="1"/>
  <c r="AE636" i="40" s="1"/>
  <c r="AE637" i="40" s="1"/>
  <c r="AE638" i="40" s="1"/>
  <c r="AE639" i="40" s="1"/>
  <c r="AE640" i="40" s="1"/>
  <c r="AE641" i="40" s="1"/>
  <c r="AE642" i="40" s="1"/>
  <c r="AE643" i="40" s="1"/>
  <c r="AE644" i="40" s="1"/>
  <c r="AE645" i="40" s="1"/>
  <c r="AE646" i="40" s="1"/>
  <c r="AE647" i="40" s="1"/>
  <c r="AE648" i="40" s="1"/>
  <c r="AE649" i="40" s="1"/>
  <c r="AE650" i="40" s="1"/>
  <c r="AE651" i="40" s="1"/>
  <c r="AE652" i="40" s="1"/>
  <c r="AE653" i="40" s="1"/>
  <c r="AE654" i="40" s="1"/>
  <c r="AE655" i="40" s="1"/>
  <c r="AE656" i="40" s="1"/>
  <c r="AE657" i="40" s="1"/>
  <c r="AE658" i="40" s="1"/>
  <c r="AE659" i="40" s="1"/>
  <c r="AE660" i="40" s="1"/>
  <c r="AE661" i="40" s="1"/>
  <c r="AE662" i="40" s="1"/>
  <c r="AE663" i="40" s="1"/>
  <c r="AE664" i="40" s="1"/>
  <c r="AE665" i="40" s="1"/>
  <c r="AE666" i="40" s="1"/>
  <c r="AE667" i="40" s="1"/>
  <c r="AE668" i="40" s="1"/>
  <c r="AE669" i="40" s="1"/>
  <c r="AE670" i="40" s="1"/>
  <c r="AE671" i="40" s="1"/>
  <c r="AE672" i="40" s="1"/>
  <c r="AE673" i="40" s="1"/>
  <c r="AE674" i="40" s="1"/>
  <c r="AE675" i="40" s="1"/>
  <c r="AE676" i="40" s="1"/>
  <c r="AE677" i="40" s="1"/>
  <c r="AE678" i="40" s="1"/>
  <c r="AE679" i="40" s="1"/>
  <c r="AE680" i="40" s="1"/>
  <c r="AE681" i="40" s="1"/>
  <c r="AE682" i="40" s="1"/>
  <c r="AE683" i="40" s="1"/>
  <c r="AE684" i="40" s="1"/>
  <c r="AE685" i="40" s="1"/>
  <c r="AE686" i="40" s="1"/>
  <c r="AE687" i="40" s="1"/>
  <c r="AE688" i="40" s="1"/>
  <c r="AE689" i="40" s="1"/>
  <c r="AE690" i="40" s="1"/>
  <c r="AE691" i="40" s="1"/>
  <c r="AE692" i="40" s="1"/>
  <c r="AE693" i="40" s="1"/>
  <c r="AE694" i="40" s="1"/>
  <c r="AE695" i="40" s="1"/>
  <c r="AE696" i="40" s="1"/>
  <c r="AE697" i="40" s="1"/>
  <c r="AE698" i="40" s="1"/>
  <c r="AE699" i="40" s="1"/>
  <c r="AE700" i="40" s="1"/>
  <c r="AE701" i="40" s="1"/>
  <c r="AE702" i="40" s="1"/>
  <c r="AE703" i="40" s="1"/>
  <c r="AE704" i="40" s="1"/>
  <c r="AE705" i="40" s="1"/>
  <c r="AE706" i="40" s="1"/>
  <c r="AE707" i="40" s="1"/>
  <c r="AE708" i="40" s="1"/>
  <c r="AE709" i="40" s="1"/>
  <c r="AE710" i="40" s="1"/>
  <c r="AE711" i="40" s="1"/>
  <c r="AE712" i="40" s="1"/>
  <c r="AE713" i="40" s="1"/>
  <c r="AE714" i="40" s="1"/>
  <c r="AE715" i="40" s="1"/>
  <c r="AE716" i="40" s="1"/>
  <c r="AE717" i="40" s="1"/>
  <c r="AE718" i="40" s="1"/>
  <c r="AE719" i="40" s="1"/>
  <c r="AE720" i="40" s="1"/>
  <c r="AE721" i="40" s="1"/>
  <c r="AE722" i="40" s="1"/>
  <c r="AE723" i="40" s="1"/>
  <c r="AE724" i="40" s="1"/>
  <c r="AE725" i="40" s="1"/>
  <c r="AE726" i="40" s="1"/>
  <c r="AE727" i="40" s="1"/>
  <c r="AE728" i="40" s="1"/>
  <c r="AE729" i="40" s="1"/>
  <c r="AE730" i="40" s="1"/>
  <c r="AE731" i="40" s="1"/>
  <c r="AE732" i="40" s="1"/>
  <c r="AE733" i="40" s="1"/>
  <c r="AE734" i="40" s="1"/>
  <c r="AE735" i="40" s="1"/>
  <c r="AE736" i="40" s="1"/>
  <c r="AE737" i="40" s="1"/>
  <c r="AE738" i="40" s="1"/>
  <c r="AE739" i="40" s="1"/>
  <c r="AE740" i="40" s="1"/>
  <c r="AE741" i="40" s="1"/>
  <c r="AE742" i="40" s="1"/>
  <c r="AE743" i="40" s="1"/>
  <c r="AE744" i="40" s="1"/>
  <c r="AE745" i="40" s="1"/>
  <c r="AE746" i="40" s="1"/>
  <c r="AE747" i="40" s="1"/>
  <c r="AE748" i="40" s="1"/>
  <c r="AE749" i="40" s="1"/>
  <c r="AE750" i="40" s="1"/>
  <c r="AE751" i="40" s="1"/>
  <c r="AE752" i="40" s="1"/>
  <c r="AE753" i="40" s="1"/>
  <c r="AE754" i="40" s="1"/>
  <c r="AE755" i="40" s="1"/>
  <c r="AE756" i="40" s="1"/>
  <c r="AE757" i="40" s="1"/>
  <c r="AE758" i="40" s="1"/>
  <c r="AE759" i="40" s="1"/>
  <c r="AE760" i="40" s="1"/>
  <c r="AE761" i="40" s="1"/>
  <c r="AE762" i="40" s="1"/>
  <c r="AE763" i="40" s="1"/>
  <c r="AE764" i="40" s="1"/>
  <c r="AE765" i="40" s="1"/>
  <c r="AE766" i="40" s="1"/>
  <c r="AE767" i="40" s="1"/>
  <c r="AE768" i="40" s="1"/>
  <c r="AE769" i="40" s="1"/>
  <c r="AE770" i="40" s="1"/>
  <c r="AE771" i="40" s="1"/>
  <c r="AE772" i="40" s="1"/>
  <c r="AE773" i="40" s="1"/>
  <c r="AE774" i="40" s="1"/>
  <c r="AE775" i="40" s="1"/>
  <c r="AE776" i="40" s="1"/>
  <c r="AE777" i="40" s="1"/>
  <c r="AE778" i="40" s="1"/>
  <c r="AE779" i="40" s="1"/>
  <c r="AE780" i="40" s="1"/>
  <c r="AE781" i="40" s="1"/>
  <c r="AE782" i="40" s="1"/>
  <c r="AE783" i="40" s="1"/>
  <c r="AE784" i="40" s="1"/>
  <c r="AE785" i="40" s="1"/>
  <c r="AE786" i="40" s="1"/>
  <c r="AE787" i="40" s="1"/>
  <c r="AE788" i="40" s="1"/>
  <c r="AE789" i="40" s="1"/>
  <c r="AE790" i="40" s="1"/>
  <c r="AE791" i="40" s="1"/>
  <c r="AE792" i="40" s="1"/>
  <c r="AE793" i="40" s="1"/>
  <c r="AE794" i="40" s="1"/>
  <c r="AE795" i="40" s="1"/>
  <c r="AE796" i="40" s="1"/>
  <c r="AE797" i="40" s="1"/>
  <c r="AE798" i="40" s="1"/>
  <c r="AE799" i="40" s="1"/>
  <c r="AE800" i="40" s="1"/>
  <c r="AE801" i="40" s="1"/>
  <c r="AE802" i="40" s="1"/>
  <c r="AE803" i="40" s="1"/>
  <c r="AE804" i="40" s="1"/>
  <c r="AE805" i="40" s="1"/>
  <c r="AE806" i="40" s="1"/>
  <c r="AE807" i="40" s="1"/>
  <c r="AE808" i="40" s="1"/>
  <c r="AE809" i="40" s="1"/>
  <c r="AE810" i="40" s="1"/>
  <c r="AE811" i="40" s="1"/>
  <c r="AE812" i="40" s="1"/>
  <c r="AE813" i="40" s="1"/>
  <c r="AE814" i="40" s="1"/>
  <c r="AE815" i="40" s="1"/>
  <c r="AE816" i="40" s="1"/>
  <c r="AE817" i="40" s="1"/>
  <c r="AE818" i="40" s="1"/>
  <c r="AE819" i="40" s="1"/>
  <c r="AE820" i="40" s="1"/>
  <c r="AE821" i="40" s="1"/>
  <c r="AE822" i="40" s="1"/>
  <c r="AE823" i="40" s="1"/>
  <c r="AE824" i="40" s="1"/>
  <c r="AE825" i="40" s="1"/>
  <c r="AE826" i="40" s="1"/>
  <c r="AE827" i="40" s="1"/>
  <c r="AE828" i="40" s="1"/>
  <c r="AE829" i="40" s="1"/>
  <c r="AE830" i="40" s="1"/>
  <c r="AE831" i="40" s="1"/>
  <c r="AE832" i="40" s="1"/>
  <c r="AE833" i="40" s="1"/>
  <c r="AE834" i="40" s="1"/>
  <c r="AE835" i="40" s="1"/>
  <c r="AE836" i="40" s="1"/>
  <c r="AE837" i="40" s="1"/>
  <c r="AE838" i="40" s="1"/>
  <c r="AE839" i="40" s="1"/>
  <c r="AE840" i="40" s="1"/>
  <c r="AE841" i="40" s="1"/>
  <c r="AE842" i="40" s="1"/>
  <c r="AE843" i="40" s="1"/>
  <c r="AE844" i="40" s="1"/>
  <c r="AE845" i="40" s="1"/>
  <c r="AE846" i="40" s="1"/>
  <c r="AE847" i="40" s="1"/>
  <c r="AE848" i="40" s="1"/>
  <c r="AE849" i="40" s="1"/>
  <c r="AE850" i="40" s="1"/>
  <c r="AE851" i="40" s="1"/>
  <c r="AE852" i="40" s="1"/>
  <c r="AE853" i="40" s="1"/>
  <c r="AE854" i="40" s="1"/>
  <c r="AE855" i="40" s="1"/>
  <c r="AE856" i="40" s="1"/>
  <c r="AE857" i="40" s="1"/>
  <c r="AE858" i="40" s="1"/>
  <c r="AE859" i="40" s="1"/>
  <c r="AE860" i="40" s="1"/>
  <c r="AE861" i="40" s="1"/>
  <c r="AE862" i="40" s="1"/>
  <c r="AE863" i="40" s="1"/>
  <c r="AE864" i="40" s="1"/>
  <c r="AE865" i="40" s="1"/>
  <c r="AE866" i="40" s="1"/>
  <c r="AE867" i="40" s="1"/>
  <c r="AE868" i="40" s="1"/>
  <c r="AE869" i="40" s="1"/>
  <c r="AE870" i="40" s="1"/>
  <c r="AE871" i="40" s="1"/>
  <c r="AE872" i="40" s="1"/>
  <c r="AE873" i="40" s="1"/>
  <c r="AE874" i="40" s="1"/>
  <c r="AE875" i="40" s="1"/>
  <c r="AE876" i="40" s="1"/>
  <c r="AE877" i="40" s="1"/>
  <c r="AE878" i="40" s="1"/>
  <c r="AE879" i="40" s="1"/>
  <c r="AE880" i="40" s="1"/>
  <c r="AE881" i="40" s="1"/>
  <c r="AE882" i="40" s="1"/>
  <c r="AE883" i="40" s="1"/>
  <c r="AE884" i="40" s="1"/>
  <c r="AE885" i="40" s="1"/>
  <c r="AE886" i="40" s="1"/>
  <c r="AE887" i="40" s="1"/>
  <c r="AE888" i="40" s="1"/>
  <c r="AE889" i="40" s="1"/>
  <c r="AE890" i="40" s="1"/>
  <c r="AE891" i="40" s="1"/>
  <c r="AE892" i="40" s="1"/>
  <c r="AE893" i="40" s="1"/>
  <c r="AE894" i="40" s="1"/>
  <c r="AE895" i="40" s="1"/>
  <c r="AE896" i="40" s="1"/>
  <c r="AE897" i="40" s="1"/>
  <c r="AE898" i="40" s="1"/>
  <c r="AE899" i="40" s="1"/>
  <c r="AE900" i="40" s="1"/>
  <c r="AE901" i="40" s="1"/>
  <c r="AE902" i="40" s="1"/>
  <c r="AE903" i="40" s="1"/>
  <c r="AE904" i="40" s="1"/>
  <c r="AE905" i="40" s="1"/>
  <c r="AE906" i="40" s="1"/>
  <c r="AE907" i="40" s="1"/>
  <c r="AE908" i="40" s="1"/>
  <c r="AE909" i="40" s="1"/>
  <c r="AE910" i="40" s="1"/>
  <c r="AE911" i="40" s="1"/>
  <c r="AE912" i="40" s="1"/>
  <c r="AE913" i="40" s="1"/>
  <c r="AE914" i="40" s="1"/>
  <c r="AE915" i="40" s="1"/>
  <c r="AE916" i="40" s="1"/>
  <c r="AE917" i="40" s="1"/>
  <c r="AE918" i="40" s="1"/>
  <c r="AE919" i="40" s="1"/>
  <c r="AE920" i="40" s="1"/>
  <c r="AE921" i="40" s="1"/>
  <c r="AE922" i="40" s="1"/>
  <c r="AE923" i="40" s="1"/>
  <c r="AE924" i="40" s="1"/>
  <c r="AE925" i="40" s="1"/>
  <c r="AE926" i="40" s="1"/>
  <c r="AE927" i="40" s="1"/>
  <c r="AE928" i="40" s="1"/>
  <c r="AE929" i="40" s="1"/>
  <c r="AE930" i="40" s="1"/>
  <c r="AE931" i="40" s="1"/>
  <c r="AE932" i="40" s="1"/>
  <c r="AE933" i="40" s="1"/>
  <c r="AE934" i="40" s="1"/>
  <c r="AE935" i="40" s="1"/>
  <c r="AE936" i="40" s="1"/>
  <c r="AE937" i="40" s="1"/>
  <c r="AE938" i="40" s="1"/>
  <c r="AE939" i="40" s="1"/>
  <c r="AE940" i="40" s="1"/>
  <c r="AE941" i="40" s="1"/>
  <c r="AE942" i="40" s="1"/>
  <c r="AE943" i="40" s="1"/>
  <c r="AE944" i="40" s="1"/>
  <c r="AE945" i="40" s="1"/>
  <c r="AE946" i="40" s="1"/>
  <c r="AE947" i="40" s="1"/>
  <c r="AE948" i="40" s="1"/>
  <c r="AE949" i="40" s="1"/>
  <c r="AE950" i="40" s="1"/>
  <c r="AE951" i="40" s="1"/>
  <c r="AE952" i="40" s="1"/>
  <c r="AE953" i="40" s="1"/>
  <c r="AE954" i="40" s="1"/>
  <c r="AE955" i="40" s="1"/>
  <c r="AE956" i="40" s="1"/>
  <c r="AE957" i="40" s="1"/>
  <c r="AE958" i="40" s="1"/>
  <c r="AE959" i="40" s="1"/>
  <c r="AE960" i="40" s="1"/>
  <c r="AE961" i="40" s="1"/>
  <c r="AE962" i="40" s="1"/>
  <c r="AE963" i="40" s="1"/>
  <c r="AE964" i="40" s="1"/>
  <c r="AE965" i="40" s="1"/>
  <c r="AE966" i="40" s="1"/>
  <c r="AE967" i="40" s="1"/>
  <c r="AE968" i="40" s="1"/>
  <c r="AE969" i="40" s="1"/>
  <c r="AE970" i="40" s="1"/>
  <c r="AE971" i="40" s="1"/>
  <c r="AE972" i="40" s="1"/>
  <c r="AE973" i="40" s="1"/>
  <c r="AE974" i="40" s="1"/>
  <c r="AE975" i="40" s="1"/>
  <c r="AE976" i="40" s="1"/>
  <c r="AE977" i="40" s="1"/>
  <c r="AE978" i="40" s="1"/>
  <c r="AE979" i="40" s="1"/>
  <c r="AE980" i="40" s="1"/>
  <c r="AE981" i="40" s="1"/>
  <c r="AE982" i="40" s="1"/>
  <c r="AE983" i="40" s="1"/>
  <c r="AE984" i="40" s="1"/>
  <c r="AE985" i="40" s="1"/>
  <c r="AE986" i="40" s="1"/>
  <c r="AE987" i="40" s="1"/>
  <c r="AE988" i="40" s="1"/>
  <c r="AE989" i="40" s="1"/>
  <c r="AE990" i="40" s="1"/>
  <c r="AE991" i="40" s="1"/>
  <c r="AE992" i="40" s="1"/>
  <c r="AE993" i="40" s="1"/>
  <c r="AE994" i="40" s="1"/>
  <c r="AE995" i="40" s="1"/>
  <c r="AE996" i="40" s="1"/>
  <c r="AE997" i="40" s="1"/>
  <c r="AE998" i="40" s="1"/>
  <c r="AE999" i="40" s="1"/>
  <c r="AE1000" i="40" s="1"/>
  <c r="AE1001" i="40" s="1"/>
  <c r="AE1002" i="40" s="1"/>
  <c r="AE1003" i="40" s="1"/>
  <c r="C14" i="41" l="1"/>
  <c r="D14" i="41"/>
  <c r="R14" i="41" s="1"/>
  <c r="P14" i="41"/>
  <c r="C18" i="3"/>
  <c r="B15" i="41"/>
  <c r="Y15" i="41" s="1"/>
  <c r="AF5" i="40"/>
  <c r="AF6" i="40" s="1"/>
  <c r="AF7" i="40" s="1"/>
  <c r="AF8" i="40" s="1"/>
  <c r="AF9" i="40" s="1"/>
  <c r="AF10" i="40" s="1"/>
  <c r="AF11" i="40" s="1"/>
  <c r="AF12" i="40" s="1"/>
  <c r="AF13" i="40" s="1"/>
  <c r="AF14" i="40" s="1"/>
  <c r="AF15" i="40" s="1"/>
  <c r="AF16" i="40" s="1"/>
  <c r="AF17" i="40" s="1"/>
  <c r="AF18" i="40" s="1"/>
  <c r="AF19" i="40" s="1"/>
  <c r="AF20" i="40" s="1"/>
  <c r="AF21" i="40" s="1"/>
  <c r="AF22" i="40" s="1"/>
  <c r="AF23" i="40" s="1"/>
  <c r="AF24" i="40" s="1"/>
  <c r="AF25" i="40" s="1"/>
  <c r="AF26" i="40" s="1"/>
  <c r="AF27" i="40" s="1"/>
  <c r="AF28" i="40" s="1"/>
  <c r="AF29" i="40" s="1"/>
  <c r="AF30" i="40" s="1"/>
  <c r="AF31" i="40" s="1"/>
  <c r="AF32" i="40" s="1"/>
  <c r="AF33" i="40" s="1"/>
  <c r="AF34" i="40" s="1"/>
  <c r="AF35" i="40" s="1"/>
  <c r="AF36" i="40" s="1"/>
  <c r="AF37" i="40" s="1"/>
  <c r="AF38" i="40" s="1"/>
  <c r="AF39" i="40" s="1"/>
  <c r="AF40" i="40" s="1"/>
  <c r="AF41" i="40" s="1"/>
  <c r="AF42" i="40" s="1"/>
  <c r="AF43" i="40" s="1"/>
  <c r="AF44" i="40" s="1"/>
  <c r="AF45" i="40" s="1"/>
  <c r="AF46" i="40" s="1"/>
  <c r="AF47" i="40" s="1"/>
  <c r="AF48" i="40" s="1"/>
  <c r="AF49" i="40" s="1"/>
  <c r="AF50" i="40" s="1"/>
  <c r="AF51" i="40" s="1"/>
  <c r="AF52" i="40" s="1"/>
  <c r="AF53" i="40" s="1"/>
  <c r="AF54" i="40" s="1"/>
  <c r="AF55" i="40" s="1"/>
  <c r="AF56" i="40" s="1"/>
  <c r="AF57" i="40" s="1"/>
  <c r="AF58" i="40" s="1"/>
  <c r="AF59" i="40" s="1"/>
  <c r="AF60" i="40" s="1"/>
  <c r="AF61" i="40" s="1"/>
  <c r="AF62" i="40" s="1"/>
  <c r="AF63" i="40" s="1"/>
  <c r="AF64" i="40" s="1"/>
  <c r="AF65" i="40" s="1"/>
  <c r="AF66" i="40" s="1"/>
  <c r="AF67" i="40" s="1"/>
  <c r="AF68" i="40" s="1"/>
  <c r="AF69" i="40" s="1"/>
  <c r="AF70" i="40" s="1"/>
  <c r="AF71" i="40" s="1"/>
  <c r="AF72" i="40" s="1"/>
  <c r="AF73" i="40" s="1"/>
  <c r="AF74" i="40" s="1"/>
  <c r="AF75" i="40" s="1"/>
  <c r="AF76" i="40" s="1"/>
  <c r="AF77" i="40" s="1"/>
  <c r="AF78" i="40" s="1"/>
  <c r="AF79" i="40" s="1"/>
  <c r="AF80" i="40" s="1"/>
  <c r="AF81" i="40" s="1"/>
  <c r="AF82" i="40" s="1"/>
  <c r="AF83" i="40" s="1"/>
  <c r="AF84" i="40" s="1"/>
  <c r="AF85" i="40" s="1"/>
  <c r="AF86" i="40" s="1"/>
  <c r="AF87" i="40" s="1"/>
  <c r="AF88" i="40" s="1"/>
  <c r="AF89" i="40" s="1"/>
  <c r="AF90" i="40" s="1"/>
  <c r="AF91" i="40" s="1"/>
  <c r="AF92" i="40" s="1"/>
  <c r="AF93" i="40" s="1"/>
  <c r="AF94" i="40" s="1"/>
  <c r="AF95" i="40" s="1"/>
  <c r="AF96" i="40" s="1"/>
  <c r="AF97" i="40" s="1"/>
  <c r="AF98" i="40" s="1"/>
  <c r="AF99" i="40" s="1"/>
  <c r="AF100" i="40" s="1"/>
  <c r="AF101" i="40" s="1"/>
  <c r="AF102" i="40" s="1"/>
  <c r="AF103" i="40" s="1"/>
  <c r="AF104" i="40" s="1"/>
  <c r="AF105" i="40" s="1"/>
  <c r="AF106" i="40" s="1"/>
  <c r="AF107" i="40" s="1"/>
  <c r="AF108" i="40" s="1"/>
  <c r="AF109" i="40" s="1"/>
  <c r="AF110" i="40" s="1"/>
  <c r="AF111" i="40" s="1"/>
  <c r="AF112" i="40" s="1"/>
  <c r="AF113" i="40" s="1"/>
  <c r="AF114" i="40" s="1"/>
  <c r="AF115" i="40" s="1"/>
  <c r="AF116" i="40" s="1"/>
  <c r="AF117" i="40" s="1"/>
  <c r="AF118" i="40" s="1"/>
  <c r="AF119" i="40" s="1"/>
  <c r="AF120" i="40" s="1"/>
  <c r="AF121" i="40" s="1"/>
  <c r="AF122" i="40" s="1"/>
  <c r="AF123" i="40" s="1"/>
  <c r="AF124" i="40" s="1"/>
  <c r="AF125" i="40" s="1"/>
  <c r="AF126" i="40" s="1"/>
  <c r="AF127" i="40" s="1"/>
  <c r="AF128" i="40" s="1"/>
  <c r="AF129" i="40" s="1"/>
  <c r="AF130" i="40" s="1"/>
  <c r="AF131" i="40" s="1"/>
  <c r="AF132" i="40" s="1"/>
  <c r="AF133" i="40" s="1"/>
  <c r="AF134" i="40" s="1"/>
  <c r="AF135" i="40" s="1"/>
  <c r="AF136" i="40" s="1"/>
  <c r="AF137" i="40" s="1"/>
  <c r="AF138" i="40" s="1"/>
  <c r="AF139" i="40" s="1"/>
  <c r="AF140" i="40" s="1"/>
  <c r="AF141" i="40" s="1"/>
  <c r="AF142" i="40" s="1"/>
  <c r="AF143" i="40" s="1"/>
  <c r="AF144" i="40" s="1"/>
  <c r="AF145" i="40" s="1"/>
  <c r="AF146" i="40" s="1"/>
  <c r="AF147" i="40" s="1"/>
  <c r="AF148" i="40" s="1"/>
  <c r="AF149" i="40" s="1"/>
  <c r="AF150" i="40" s="1"/>
  <c r="AF151" i="40" s="1"/>
  <c r="AF152" i="40" s="1"/>
  <c r="AF153" i="40" s="1"/>
  <c r="AF154" i="40" s="1"/>
  <c r="AF155" i="40" s="1"/>
  <c r="AF156" i="40" s="1"/>
  <c r="AF157" i="40" s="1"/>
  <c r="AF158" i="40" s="1"/>
  <c r="AF159" i="40" s="1"/>
  <c r="AF160" i="40" s="1"/>
  <c r="AF161" i="40" s="1"/>
  <c r="AF162" i="40" s="1"/>
  <c r="AF163" i="40" s="1"/>
  <c r="AF164" i="40" s="1"/>
  <c r="AF165" i="40" s="1"/>
  <c r="AF166" i="40" s="1"/>
  <c r="AF167" i="40" s="1"/>
  <c r="AF168" i="40" s="1"/>
  <c r="AF169" i="40" s="1"/>
  <c r="AF170" i="40" s="1"/>
  <c r="AF171" i="40" s="1"/>
  <c r="AF172" i="40" s="1"/>
  <c r="AF173" i="40" s="1"/>
  <c r="AF174" i="40" s="1"/>
  <c r="AF175" i="40" s="1"/>
  <c r="AF176" i="40" s="1"/>
  <c r="AF177" i="40" s="1"/>
  <c r="AF178" i="40" s="1"/>
  <c r="AF179" i="40" s="1"/>
  <c r="AF180" i="40" s="1"/>
  <c r="AF181" i="40" s="1"/>
  <c r="AF182" i="40" s="1"/>
  <c r="AF183" i="40" s="1"/>
  <c r="AF184" i="40" s="1"/>
  <c r="AF185" i="40" s="1"/>
  <c r="AF186" i="40" s="1"/>
  <c r="AF187" i="40" s="1"/>
  <c r="AF188" i="40" s="1"/>
  <c r="AF189" i="40" s="1"/>
  <c r="AF190" i="40" s="1"/>
  <c r="AF191" i="40" s="1"/>
  <c r="AF192" i="40" s="1"/>
  <c r="AF193" i="40" s="1"/>
  <c r="AF194" i="40" s="1"/>
  <c r="AF195" i="40" s="1"/>
  <c r="AF196" i="40" s="1"/>
  <c r="AF197" i="40" s="1"/>
  <c r="AF198" i="40" s="1"/>
  <c r="AF199" i="40" s="1"/>
  <c r="AF200" i="40" s="1"/>
  <c r="AF201" i="40" s="1"/>
  <c r="AF202" i="40" s="1"/>
  <c r="AF203" i="40" s="1"/>
  <c r="AF204" i="40" s="1"/>
  <c r="AF205" i="40" s="1"/>
  <c r="AF206" i="40" s="1"/>
  <c r="AF207" i="40" s="1"/>
  <c r="AF208" i="40" s="1"/>
  <c r="AF209" i="40" s="1"/>
  <c r="AF210" i="40" s="1"/>
  <c r="AF211" i="40" s="1"/>
  <c r="AF212" i="40" s="1"/>
  <c r="AF213" i="40" s="1"/>
  <c r="AF214" i="40" s="1"/>
  <c r="AF215" i="40" s="1"/>
  <c r="AF216" i="40" s="1"/>
  <c r="AF217" i="40" s="1"/>
  <c r="AF218" i="40" s="1"/>
  <c r="AF219" i="40" s="1"/>
  <c r="AF220" i="40" s="1"/>
  <c r="AF221" i="40" s="1"/>
  <c r="AF222" i="40" s="1"/>
  <c r="AF223" i="40" s="1"/>
  <c r="AF224" i="40" s="1"/>
  <c r="AF225" i="40" s="1"/>
  <c r="AF226" i="40" s="1"/>
  <c r="AF227" i="40" s="1"/>
  <c r="AF228" i="40" s="1"/>
  <c r="AF229" i="40" s="1"/>
  <c r="AF230" i="40" s="1"/>
  <c r="AF231" i="40" s="1"/>
  <c r="AF232" i="40" s="1"/>
  <c r="AF233" i="40" s="1"/>
  <c r="AF234" i="40" s="1"/>
  <c r="AF235" i="40" s="1"/>
  <c r="AF236" i="40" s="1"/>
  <c r="AF237" i="40" s="1"/>
  <c r="AF238" i="40" s="1"/>
  <c r="AF239" i="40" s="1"/>
  <c r="AF240" i="40" s="1"/>
  <c r="AF241" i="40" s="1"/>
  <c r="AF242" i="40" s="1"/>
  <c r="AF243" i="40" s="1"/>
  <c r="AF244" i="40" s="1"/>
  <c r="AF245" i="40" s="1"/>
  <c r="AF246" i="40" s="1"/>
  <c r="AF247" i="40" s="1"/>
  <c r="AF248" i="40" s="1"/>
  <c r="AF249" i="40" s="1"/>
  <c r="AF250" i="40" s="1"/>
  <c r="AF251" i="40" s="1"/>
  <c r="AF252" i="40" s="1"/>
  <c r="AF253" i="40" s="1"/>
  <c r="AF254" i="40" s="1"/>
  <c r="AF255" i="40" s="1"/>
  <c r="AF256" i="40" s="1"/>
  <c r="AF257" i="40" s="1"/>
  <c r="AF258" i="40" s="1"/>
  <c r="AF259" i="40" s="1"/>
  <c r="AF260" i="40" s="1"/>
  <c r="AF261" i="40" s="1"/>
  <c r="AF262" i="40" s="1"/>
  <c r="AF263" i="40" s="1"/>
  <c r="AF264" i="40" s="1"/>
  <c r="AF265" i="40" s="1"/>
  <c r="AF266" i="40" s="1"/>
  <c r="AF267" i="40" s="1"/>
  <c r="AF268" i="40" s="1"/>
  <c r="AF269" i="40" s="1"/>
  <c r="AF270" i="40" s="1"/>
  <c r="AF271" i="40" s="1"/>
  <c r="AF272" i="40" s="1"/>
  <c r="AF273" i="40" s="1"/>
  <c r="AF274" i="40" s="1"/>
  <c r="AF275" i="40" s="1"/>
  <c r="AF276" i="40" s="1"/>
  <c r="AF277" i="40" s="1"/>
  <c r="AF278" i="40" s="1"/>
  <c r="AF279" i="40" s="1"/>
  <c r="AF280" i="40" s="1"/>
  <c r="AF281" i="40" s="1"/>
  <c r="AF282" i="40" s="1"/>
  <c r="AF283" i="40" s="1"/>
  <c r="AF284" i="40" s="1"/>
  <c r="AF285" i="40" s="1"/>
  <c r="AF286" i="40" s="1"/>
  <c r="AF287" i="40" s="1"/>
  <c r="AF288" i="40" s="1"/>
  <c r="AF289" i="40" s="1"/>
  <c r="AF290" i="40" s="1"/>
  <c r="AF291" i="40" s="1"/>
  <c r="AF292" i="40" s="1"/>
  <c r="AF293" i="40" s="1"/>
  <c r="AF294" i="40" s="1"/>
  <c r="AF295" i="40" s="1"/>
  <c r="AF296" i="40" s="1"/>
  <c r="AF297" i="40" s="1"/>
  <c r="AF298" i="40" s="1"/>
  <c r="AF299" i="40" s="1"/>
  <c r="AF300" i="40" s="1"/>
  <c r="AF301" i="40" s="1"/>
  <c r="AF302" i="40" s="1"/>
  <c r="AF303" i="40" s="1"/>
  <c r="AF304" i="40" s="1"/>
  <c r="AF305" i="40" s="1"/>
  <c r="AF306" i="40" s="1"/>
  <c r="AF307" i="40" s="1"/>
  <c r="AF308" i="40" s="1"/>
  <c r="AF309" i="40" s="1"/>
  <c r="AF310" i="40" s="1"/>
  <c r="AF311" i="40" s="1"/>
  <c r="AF312" i="40" s="1"/>
  <c r="AF313" i="40" s="1"/>
  <c r="AF314" i="40" s="1"/>
  <c r="AF315" i="40" s="1"/>
  <c r="AF316" i="40" s="1"/>
  <c r="AF317" i="40" s="1"/>
  <c r="AF318" i="40" s="1"/>
  <c r="AF319" i="40" s="1"/>
  <c r="AF320" i="40" s="1"/>
  <c r="AF321" i="40" s="1"/>
  <c r="AF322" i="40" s="1"/>
  <c r="AF323" i="40" s="1"/>
  <c r="AF324" i="40" s="1"/>
  <c r="AF325" i="40" s="1"/>
  <c r="AF326" i="40" s="1"/>
  <c r="AF327" i="40" s="1"/>
  <c r="AF328" i="40" s="1"/>
  <c r="AF329" i="40" s="1"/>
  <c r="AF330" i="40" s="1"/>
  <c r="AF331" i="40" s="1"/>
  <c r="AF332" i="40" s="1"/>
  <c r="AF333" i="40" s="1"/>
  <c r="AF334" i="40" s="1"/>
  <c r="AF335" i="40" s="1"/>
  <c r="AF336" i="40" s="1"/>
  <c r="AF337" i="40" s="1"/>
  <c r="AF338" i="40" s="1"/>
  <c r="AF339" i="40" s="1"/>
  <c r="AF340" i="40" s="1"/>
  <c r="AF341" i="40" s="1"/>
  <c r="AF342" i="40" s="1"/>
  <c r="AF343" i="40" s="1"/>
  <c r="AF344" i="40" s="1"/>
  <c r="AF345" i="40" s="1"/>
  <c r="AF346" i="40" s="1"/>
  <c r="AF347" i="40" s="1"/>
  <c r="AF348" i="40" s="1"/>
  <c r="AF349" i="40" s="1"/>
  <c r="AF350" i="40" s="1"/>
  <c r="AF351" i="40" s="1"/>
  <c r="AF352" i="40" s="1"/>
  <c r="AF353" i="40" s="1"/>
  <c r="AF354" i="40" s="1"/>
  <c r="AF355" i="40" s="1"/>
  <c r="AF356" i="40" s="1"/>
  <c r="AF357" i="40" s="1"/>
  <c r="AF358" i="40" s="1"/>
  <c r="AF359" i="40" s="1"/>
  <c r="AF360" i="40" s="1"/>
  <c r="AF361" i="40" s="1"/>
  <c r="AF362" i="40" s="1"/>
  <c r="AF363" i="40" s="1"/>
  <c r="AF364" i="40" s="1"/>
  <c r="AF365" i="40" s="1"/>
  <c r="AF366" i="40" s="1"/>
  <c r="AF367" i="40" s="1"/>
  <c r="AF368" i="40" s="1"/>
  <c r="AF369" i="40" s="1"/>
  <c r="AF370" i="40" s="1"/>
  <c r="AF371" i="40" s="1"/>
  <c r="AF372" i="40" s="1"/>
  <c r="AF373" i="40" s="1"/>
  <c r="AF374" i="40" s="1"/>
  <c r="AF375" i="40" s="1"/>
  <c r="AF376" i="40" s="1"/>
  <c r="AF377" i="40" s="1"/>
  <c r="AF378" i="40" s="1"/>
  <c r="AF379" i="40" s="1"/>
  <c r="AF380" i="40" s="1"/>
  <c r="AF381" i="40" s="1"/>
  <c r="AF382" i="40" s="1"/>
  <c r="AF383" i="40" s="1"/>
  <c r="AF384" i="40" s="1"/>
  <c r="AF385" i="40" s="1"/>
  <c r="AF386" i="40" s="1"/>
  <c r="AF387" i="40" s="1"/>
  <c r="AF388" i="40" s="1"/>
  <c r="AF389" i="40" s="1"/>
  <c r="AF390" i="40" s="1"/>
  <c r="AF391" i="40" s="1"/>
  <c r="AF392" i="40" s="1"/>
  <c r="AF393" i="40" s="1"/>
  <c r="AF394" i="40" s="1"/>
  <c r="AF395" i="40" s="1"/>
  <c r="AF396" i="40" s="1"/>
  <c r="AF397" i="40" s="1"/>
  <c r="AF398" i="40" s="1"/>
  <c r="AF399" i="40" s="1"/>
  <c r="AF400" i="40" s="1"/>
  <c r="AF401" i="40" s="1"/>
  <c r="AF402" i="40" s="1"/>
  <c r="AF403" i="40" s="1"/>
  <c r="AF404" i="40" s="1"/>
  <c r="AF405" i="40" s="1"/>
  <c r="AF406" i="40" s="1"/>
  <c r="AF407" i="40" s="1"/>
  <c r="AF408" i="40" s="1"/>
  <c r="AF409" i="40" s="1"/>
  <c r="AF410" i="40" s="1"/>
  <c r="AF411" i="40" s="1"/>
  <c r="AF412" i="40" s="1"/>
  <c r="AF413" i="40" s="1"/>
  <c r="AF414" i="40" s="1"/>
  <c r="AF415" i="40" s="1"/>
  <c r="AF416" i="40" s="1"/>
  <c r="AF417" i="40" s="1"/>
  <c r="AF418" i="40" s="1"/>
  <c r="AF419" i="40" s="1"/>
  <c r="AF420" i="40" s="1"/>
  <c r="AF421" i="40" s="1"/>
  <c r="AF422" i="40" s="1"/>
  <c r="AF423" i="40" s="1"/>
  <c r="AF424" i="40" s="1"/>
  <c r="AF425" i="40" s="1"/>
  <c r="AF426" i="40" s="1"/>
  <c r="AF427" i="40" s="1"/>
  <c r="AF428" i="40" s="1"/>
  <c r="AF429" i="40" s="1"/>
  <c r="AF430" i="40" s="1"/>
  <c r="AF431" i="40" s="1"/>
  <c r="AF432" i="40" s="1"/>
  <c r="AF433" i="40" s="1"/>
  <c r="AF434" i="40" s="1"/>
  <c r="AF435" i="40" s="1"/>
  <c r="AF436" i="40" s="1"/>
  <c r="AF437" i="40" s="1"/>
  <c r="AF438" i="40" s="1"/>
  <c r="AF439" i="40" s="1"/>
  <c r="AF440" i="40" s="1"/>
  <c r="AF441" i="40" s="1"/>
  <c r="AF442" i="40" s="1"/>
  <c r="AF443" i="40" s="1"/>
  <c r="AF444" i="40" s="1"/>
  <c r="AF445" i="40" s="1"/>
  <c r="AF446" i="40" s="1"/>
  <c r="AF447" i="40" s="1"/>
  <c r="AF448" i="40" s="1"/>
  <c r="AF449" i="40" s="1"/>
  <c r="AF450" i="40" s="1"/>
  <c r="AF451" i="40" s="1"/>
  <c r="AF452" i="40" s="1"/>
  <c r="AF453" i="40" s="1"/>
  <c r="AF454" i="40" s="1"/>
  <c r="AF455" i="40" s="1"/>
  <c r="AF456" i="40" s="1"/>
  <c r="AF457" i="40" s="1"/>
  <c r="AF458" i="40" s="1"/>
  <c r="AF459" i="40" s="1"/>
  <c r="AF460" i="40" s="1"/>
  <c r="AF461" i="40" s="1"/>
  <c r="AF462" i="40" s="1"/>
  <c r="AF463" i="40" s="1"/>
  <c r="AF464" i="40" s="1"/>
  <c r="AF465" i="40" s="1"/>
  <c r="AF466" i="40" s="1"/>
  <c r="AF467" i="40" s="1"/>
  <c r="AF468" i="40" s="1"/>
  <c r="AF469" i="40" s="1"/>
  <c r="AF470" i="40" s="1"/>
  <c r="AF471" i="40" s="1"/>
  <c r="AF472" i="40" s="1"/>
  <c r="AF473" i="40" s="1"/>
  <c r="AF474" i="40" s="1"/>
  <c r="AF475" i="40" s="1"/>
  <c r="AF476" i="40" s="1"/>
  <c r="AF477" i="40" s="1"/>
  <c r="AF478" i="40" s="1"/>
  <c r="AF479" i="40" s="1"/>
  <c r="AF480" i="40" s="1"/>
  <c r="AF481" i="40" s="1"/>
  <c r="AF482" i="40" s="1"/>
  <c r="AF483" i="40" s="1"/>
  <c r="AF484" i="40" s="1"/>
  <c r="AF485" i="40" s="1"/>
  <c r="AF486" i="40" s="1"/>
  <c r="AF487" i="40" s="1"/>
  <c r="AF488" i="40" s="1"/>
  <c r="AF489" i="40" s="1"/>
  <c r="AF490" i="40" s="1"/>
  <c r="AF491" i="40" s="1"/>
  <c r="AF492" i="40" s="1"/>
  <c r="AF493" i="40" s="1"/>
  <c r="AF494" i="40" s="1"/>
  <c r="AF495" i="40" s="1"/>
  <c r="AF496" i="40" s="1"/>
  <c r="AF497" i="40" s="1"/>
  <c r="AF498" i="40" s="1"/>
  <c r="AF499" i="40" s="1"/>
  <c r="AF500" i="40" s="1"/>
  <c r="AF501" i="40" s="1"/>
  <c r="AF502" i="40" s="1"/>
  <c r="AF503" i="40" s="1"/>
  <c r="AF504" i="40" s="1"/>
  <c r="AF505" i="40" s="1"/>
  <c r="AF506" i="40" s="1"/>
  <c r="AF507" i="40" s="1"/>
  <c r="AF508" i="40" s="1"/>
  <c r="AF509" i="40" s="1"/>
  <c r="AF510" i="40" s="1"/>
  <c r="AF511" i="40" s="1"/>
  <c r="AF512" i="40" s="1"/>
  <c r="AF513" i="40" s="1"/>
  <c r="AF514" i="40" s="1"/>
  <c r="AF515" i="40" s="1"/>
  <c r="AF516" i="40" s="1"/>
  <c r="AF517" i="40" s="1"/>
  <c r="AF518" i="40" s="1"/>
  <c r="AF519" i="40" s="1"/>
  <c r="AF520" i="40" s="1"/>
  <c r="AF521" i="40" s="1"/>
  <c r="AF522" i="40" s="1"/>
  <c r="AF523" i="40" s="1"/>
  <c r="AF524" i="40" s="1"/>
  <c r="AF525" i="40" s="1"/>
  <c r="AF526" i="40" s="1"/>
  <c r="AF527" i="40" s="1"/>
  <c r="AF528" i="40" s="1"/>
  <c r="AF529" i="40" s="1"/>
  <c r="AF530" i="40" s="1"/>
  <c r="AF531" i="40" s="1"/>
  <c r="AF532" i="40" s="1"/>
  <c r="AF533" i="40" s="1"/>
  <c r="AF534" i="40" s="1"/>
  <c r="AF535" i="40" s="1"/>
  <c r="AF536" i="40" s="1"/>
  <c r="AF537" i="40" s="1"/>
  <c r="AF538" i="40" s="1"/>
  <c r="AF539" i="40" s="1"/>
  <c r="AF540" i="40" s="1"/>
  <c r="AF541" i="40" s="1"/>
  <c r="AF542" i="40" s="1"/>
  <c r="AF543" i="40" s="1"/>
  <c r="AF544" i="40" s="1"/>
  <c r="AF545" i="40" s="1"/>
  <c r="AF546" i="40" s="1"/>
  <c r="AF547" i="40" s="1"/>
  <c r="AF548" i="40" s="1"/>
  <c r="AF549" i="40" s="1"/>
  <c r="AF550" i="40" s="1"/>
  <c r="AF551" i="40" s="1"/>
  <c r="AF552" i="40" s="1"/>
  <c r="AF553" i="40" s="1"/>
  <c r="AF554" i="40" s="1"/>
  <c r="AF555" i="40" s="1"/>
  <c r="AF556" i="40" s="1"/>
  <c r="AF557" i="40" s="1"/>
  <c r="AF558" i="40" s="1"/>
  <c r="AF559" i="40" s="1"/>
  <c r="AF560" i="40" s="1"/>
  <c r="AF561" i="40" s="1"/>
  <c r="AF562" i="40" s="1"/>
  <c r="AF563" i="40" s="1"/>
  <c r="AF564" i="40" s="1"/>
  <c r="AF565" i="40" s="1"/>
  <c r="AF566" i="40" s="1"/>
  <c r="AF567" i="40" s="1"/>
  <c r="AF568" i="40" s="1"/>
  <c r="AF569" i="40" s="1"/>
  <c r="AF570" i="40" s="1"/>
  <c r="AF571" i="40" s="1"/>
  <c r="AF572" i="40" s="1"/>
  <c r="AF573" i="40" s="1"/>
  <c r="AF574" i="40" s="1"/>
  <c r="AF575" i="40" s="1"/>
  <c r="AF576" i="40" s="1"/>
  <c r="AF577" i="40" s="1"/>
  <c r="AF578" i="40" s="1"/>
  <c r="AF579" i="40" s="1"/>
  <c r="AF580" i="40" s="1"/>
  <c r="AF581" i="40" s="1"/>
  <c r="AF582" i="40" s="1"/>
  <c r="AF583" i="40" s="1"/>
  <c r="AF584" i="40" s="1"/>
  <c r="AF585" i="40" s="1"/>
  <c r="AF586" i="40" s="1"/>
  <c r="AF587" i="40" s="1"/>
  <c r="AF588" i="40" s="1"/>
  <c r="AF589" i="40" s="1"/>
  <c r="AF590" i="40" s="1"/>
  <c r="AF591" i="40" s="1"/>
  <c r="AF592" i="40" s="1"/>
  <c r="AF593" i="40" s="1"/>
  <c r="AF594" i="40" s="1"/>
  <c r="AF595" i="40" s="1"/>
  <c r="AF596" i="40" s="1"/>
  <c r="AF597" i="40" s="1"/>
  <c r="AF598" i="40" s="1"/>
  <c r="AF599" i="40" s="1"/>
  <c r="AF600" i="40" s="1"/>
  <c r="AF601" i="40" s="1"/>
  <c r="AF602" i="40" s="1"/>
  <c r="AF603" i="40" s="1"/>
  <c r="AF604" i="40" s="1"/>
  <c r="AF605" i="40" s="1"/>
  <c r="AF606" i="40" s="1"/>
  <c r="AF607" i="40" s="1"/>
  <c r="AF608" i="40" s="1"/>
  <c r="AF609" i="40" s="1"/>
  <c r="AF610" i="40" s="1"/>
  <c r="AF611" i="40" s="1"/>
  <c r="AF612" i="40" s="1"/>
  <c r="AF613" i="40" s="1"/>
  <c r="AF614" i="40" s="1"/>
  <c r="AF615" i="40" s="1"/>
  <c r="AF616" i="40" s="1"/>
  <c r="AF617" i="40" s="1"/>
  <c r="AF618" i="40" s="1"/>
  <c r="AF619" i="40" s="1"/>
  <c r="AF620" i="40" s="1"/>
  <c r="AF621" i="40" s="1"/>
  <c r="AF622" i="40" s="1"/>
  <c r="AF623" i="40" s="1"/>
  <c r="AF624" i="40" s="1"/>
  <c r="AF625" i="40" s="1"/>
  <c r="AF626" i="40" s="1"/>
  <c r="AF627" i="40" s="1"/>
  <c r="AF628" i="40" s="1"/>
  <c r="AF629" i="40" s="1"/>
  <c r="AF630" i="40" s="1"/>
  <c r="AF631" i="40" s="1"/>
  <c r="AF632" i="40" s="1"/>
  <c r="AF633" i="40" s="1"/>
  <c r="AF634" i="40" s="1"/>
  <c r="AF635" i="40" s="1"/>
  <c r="AF636" i="40" s="1"/>
  <c r="AF637" i="40" s="1"/>
  <c r="AF638" i="40" s="1"/>
  <c r="AF639" i="40" s="1"/>
  <c r="AF640" i="40" s="1"/>
  <c r="AF641" i="40" s="1"/>
  <c r="AF642" i="40" s="1"/>
  <c r="AF643" i="40" s="1"/>
  <c r="AF644" i="40" s="1"/>
  <c r="AF645" i="40" s="1"/>
  <c r="AF646" i="40" s="1"/>
  <c r="AF647" i="40" s="1"/>
  <c r="AF648" i="40" s="1"/>
  <c r="AF649" i="40" s="1"/>
  <c r="AF650" i="40" s="1"/>
  <c r="AF651" i="40" s="1"/>
  <c r="AF652" i="40" s="1"/>
  <c r="AF653" i="40" s="1"/>
  <c r="AF654" i="40" s="1"/>
  <c r="AF655" i="40" s="1"/>
  <c r="AF656" i="40" s="1"/>
  <c r="AF657" i="40" s="1"/>
  <c r="AF658" i="40" s="1"/>
  <c r="AF659" i="40" s="1"/>
  <c r="AF660" i="40" s="1"/>
  <c r="AF661" i="40" s="1"/>
  <c r="AF662" i="40" s="1"/>
  <c r="AF663" i="40" s="1"/>
  <c r="AF664" i="40" s="1"/>
  <c r="AF665" i="40" s="1"/>
  <c r="AF666" i="40" s="1"/>
  <c r="AF667" i="40" s="1"/>
  <c r="AF668" i="40" s="1"/>
  <c r="AF669" i="40" s="1"/>
  <c r="AF670" i="40" s="1"/>
  <c r="AF671" i="40" s="1"/>
  <c r="AF672" i="40" s="1"/>
  <c r="AF673" i="40" s="1"/>
  <c r="AF674" i="40" s="1"/>
  <c r="AF675" i="40" s="1"/>
  <c r="AF676" i="40" s="1"/>
  <c r="AF677" i="40" s="1"/>
  <c r="AF678" i="40" s="1"/>
  <c r="AF679" i="40" s="1"/>
  <c r="AF680" i="40" s="1"/>
  <c r="AF681" i="40" s="1"/>
  <c r="AF682" i="40" s="1"/>
  <c r="AF683" i="40" s="1"/>
  <c r="AF684" i="40" s="1"/>
  <c r="AF685" i="40" s="1"/>
  <c r="AF686" i="40" s="1"/>
  <c r="AF687" i="40" s="1"/>
  <c r="AF688" i="40" s="1"/>
  <c r="AF689" i="40" s="1"/>
  <c r="AF690" i="40" s="1"/>
  <c r="AF691" i="40" s="1"/>
  <c r="AF692" i="40" s="1"/>
  <c r="AF693" i="40" s="1"/>
  <c r="AF694" i="40" s="1"/>
  <c r="AF695" i="40" s="1"/>
  <c r="AF696" i="40" s="1"/>
  <c r="AF697" i="40" s="1"/>
  <c r="AF698" i="40" s="1"/>
  <c r="AF699" i="40" s="1"/>
  <c r="AF700" i="40" s="1"/>
  <c r="AF701" i="40" s="1"/>
  <c r="AF702" i="40" s="1"/>
  <c r="AF703" i="40" s="1"/>
  <c r="AF704" i="40" s="1"/>
  <c r="AF705" i="40" s="1"/>
  <c r="AF706" i="40" s="1"/>
  <c r="AF707" i="40" s="1"/>
  <c r="AF708" i="40" s="1"/>
  <c r="AF709" i="40" s="1"/>
  <c r="AF710" i="40" s="1"/>
  <c r="AF711" i="40" s="1"/>
  <c r="AF712" i="40" s="1"/>
  <c r="AF713" i="40" s="1"/>
  <c r="AF714" i="40" s="1"/>
  <c r="AF715" i="40" s="1"/>
  <c r="AF716" i="40" s="1"/>
  <c r="AF717" i="40" s="1"/>
  <c r="AF718" i="40" s="1"/>
  <c r="AF719" i="40" s="1"/>
  <c r="AF720" i="40" s="1"/>
  <c r="AF721" i="40" s="1"/>
  <c r="AF722" i="40" s="1"/>
  <c r="AF723" i="40" s="1"/>
  <c r="AF724" i="40" s="1"/>
  <c r="AF725" i="40" s="1"/>
  <c r="AF726" i="40" s="1"/>
  <c r="AF727" i="40" s="1"/>
  <c r="AF728" i="40" s="1"/>
  <c r="AF729" i="40" s="1"/>
  <c r="AF730" i="40" s="1"/>
  <c r="AF731" i="40" s="1"/>
  <c r="AF732" i="40" s="1"/>
  <c r="AF733" i="40" s="1"/>
  <c r="AF734" i="40" s="1"/>
  <c r="AF735" i="40" s="1"/>
  <c r="AF736" i="40" s="1"/>
  <c r="AF737" i="40" s="1"/>
  <c r="AF738" i="40" s="1"/>
  <c r="AF739" i="40" s="1"/>
  <c r="AF740" i="40" s="1"/>
  <c r="AF741" i="40" s="1"/>
  <c r="AF742" i="40" s="1"/>
  <c r="AF743" i="40" s="1"/>
  <c r="AF744" i="40" s="1"/>
  <c r="AF745" i="40" s="1"/>
  <c r="AF746" i="40" s="1"/>
  <c r="AF747" i="40" s="1"/>
  <c r="AF748" i="40" s="1"/>
  <c r="AF749" i="40" s="1"/>
  <c r="AF750" i="40" s="1"/>
  <c r="AF751" i="40" s="1"/>
  <c r="AF752" i="40" s="1"/>
  <c r="AF753" i="40" s="1"/>
  <c r="AF754" i="40" s="1"/>
  <c r="AF755" i="40" s="1"/>
  <c r="AF756" i="40" s="1"/>
  <c r="AF757" i="40" s="1"/>
  <c r="AF758" i="40" s="1"/>
  <c r="AF759" i="40" s="1"/>
  <c r="AF760" i="40" s="1"/>
  <c r="AF761" i="40" s="1"/>
  <c r="AF762" i="40" s="1"/>
  <c r="AF763" i="40" s="1"/>
  <c r="AF764" i="40" s="1"/>
  <c r="AF765" i="40" s="1"/>
  <c r="AF766" i="40" s="1"/>
  <c r="AF767" i="40" s="1"/>
  <c r="AF768" i="40" s="1"/>
  <c r="AF769" i="40" s="1"/>
  <c r="AF770" i="40" s="1"/>
  <c r="AF771" i="40" s="1"/>
  <c r="AF772" i="40" s="1"/>
  <c r="AF773" i="40" s="1"/>
  <c r="AF774" i="40" s="1"/>
  <c r="AF775" i="40" s="1"/>
  <c r="AF776" i="40" s="1"/>
  <c r="AF777" i="40" s="1"/>
  <c r="AF778" i="40" s="1"/>
  <c r="AF779" i="40" s="1"/>
  <c r="AF780" i="40" s="1"/>
  <c r="AF781" i="40" s="1"/>
  <c r="AF782" i="40" s="1"/>
  <c r="AF783" i="40" s="1"/>
  <c r="AF784" i="40" s="1"/>
  <c r="AF785" i="40" s="1"/>
  <c r="AF786" i="40" s="1"/>
  <c r="AF787" i="40" s="1"/>
  <c r="AF788" i="40" s="1"/>
  <c r="AF789" i="40" s="1"/>
  <c r="AF790" i="40" s="1"/>
  <c r="AF791" i="40" s="1"/>
  <c r="AF792" i="40" s="1"/>
  <c r="AF793" i="40" s="1"/>
  <c r="AF794" i="40" s="1"/>
  <c r="AF795" i="40" s="1"/>
  <c r="AF796" i="40" s="1"/>
  <c r="AF797" i="40" s="1"/>
  <c r="AF798" i="40" s="1"/>
  <c r="AF799" i="40" s="1"/>
  <c r="AF800" i="40" s="1"/>
  <c r="AF801" i="40" s="1"/>
  <c r="AF802" i="40" s="1"/>
  <c r="AF803" i="40" s="1"/>
  <c r="AF804" i="40" s="1"/>
  <c r="AF805" i="40" s="1"/>
  <c r="AF806" i="40" s="1"/>
  <c r="AF807" i="40" s="1"/>
  <c r="AF808" i="40" s="1"/>
  <c r="AF809" i="40" s="1"/>
  <c r="AF810" i="40" s="1"/>
  <c r="AF811" i="40" s="1"/>
  <c r="AF812" i="40" s="1"/>
  <c r="AF813" i="40" s="1"/>
  <c r="AF814" i="40" s="1"/>
  <c r="AF815" i="40" s="1"/>
  <c r="AF816" i="40" s="1"/>
  <c r="AF817" i="40" s="1"/>
  <c r="AF818" i="40" s="1"/>
  <c r="AF819" i="40" s="1"/>
  <c r="AF820" i="40" s="1"/>
  <c r="AF821" i="40" s="1"/>
  <c r="AF822" i="40" s="1"/>
  <c r="AF823" i="40" s="1"/>
  <c r="AF824" i="40" s="1"/>
  <c r="AF825" i="40" s="1"/>
  <c r="AF826" i="40" s="1"/>
  <c r="AF827" i="40" s="1"/>
  <c r="AF828" i="40" s="1"/>
  <c r="AF829" i="40" s="1"/>
  <c r="AF830" i="40" s="1"/>
  <c r="AF831" i="40" s="1"/>
  <c r="AF832" i="40" s="1"/>
  <c r="AF833" i="40" s="1"/>
  <c r="AF834" i="40" s="1"/>
  <c r="AF835" i="40" s="1"/>
  <c r="AF836" i="40" s="1"/>
  <c r="AF837" i="40" s="1"/>
  <c r="AF838" i="40" s="1"/>
  <c r="AF839" i="40" s="1"/>
  <c r="AF840" i="40" s="1"/>
  <c r="AF841" i="40" s="1"/>
  <c r="AF842" i="40" s="1"/>
  <c r="AF843" i="40" s="1"/>
  <c r="AF844" i="40" s="1"/>
  <c r="AF845" i="40" s="1"/>
  <c r="AF846" i="40" s="1"/>
  <c r="AF847" i="40" s="1"/>
  <c r="AF848" i="40" s="1"/>
  <c r="AF849" i="40" s="1"/>
  <c r="AF850" i="40" s="1"/>
  <c r="AF851" i="40" s="1"/>
  <c r="AF852" i="40" s="1"/>
  <c r="AF853" i="40" s="1"/>
  <c r="AF854" i="40" s="1"/>
  <c r="AF855" i="40" s="1"/>
  <c r="AF856" i="40" s="1"/>
  <c r="AF857" i="40" s="1"/>
  <c r="AF858" i="40" s="1"/>
  <c r="AF859" i="40" s="1"/>
  <c r="AF860" i="40" s="1"/>
  <c r="AF861" i="40" s="1"/>
  <c r="AF862" i="40" s="1"/>
  <c r="AF863" i="40" s="1"/>
  <c r="AF864" i="40" s="1"/>
  <c r="AF865" i="40" s="1"/>
  <c r="AF866" i="40" s="1"/>
  <c r="AF867" i="40" s="1"/>
  <c r="AF868" i="40" s="1"/>
  <c r="AF869" i="40" s="1"/>
  <c r="AF870" i="40" s="1"/>
  <c r="AF871" i="40" s="1"/>
  <c r="AF872" i="40" s="1"/>
  <c r="AF873" i="40" s="1"/>
  <c r="AF874" i="40" s="1"/>
  <c r="AF875" i="40" s="1"/>
  <c r="AF876" i="40" s="1"/>
  <c r="AF877" i="40" s="1"/>
  <c r="AF878" i="40" s="1"/>
  <c r="AF879" i="40" s="1"/>
  <c r="AF880" i="40" s="1"/>
  <c r="AF881" i="40" s="1"/>
  <c r="AF882" i="40" s="1"/>
  <c r="AF883" i="40" s="1"/>
  <c r="AF884" i="40" s="1"/>
  <c r="AF885" i="40" s="1"/>
  <c r="AF886" i="40" s="1"/>
  <c r="AF887" i="40" s="1"/>
  <c r="AF888" i="40" s="1"/>
  <c r="AF889" i="40" s="1"/>
  <c r="AF890" i="40" s="1"/>
  <c r="AF891" i="40" s="1"/>
  <c r="AF892" i="40" s="1"/>
  <c r="AF893" i="40" s="1"/>
  <c r="AF894" i="40" s="1"/>
  <c r="AF895" i="40" s="1"/>
  <c r="AF896" i="40" s="1"/>
  <c r="AF897" i="40" s="1"/>
  <c r="AF898" i="40" s="1"/>
  <c r="AF899" i="40" s="1"/>
  <c r="AF900" i="40" s="1"/>
  <c r="AF901" i="40" s="1"/>
  <c r="AF902" i="40" s="1"/>
  <c r="AF903" i="40" s="1"/>
  <c r="AF904" i="40" s="1"/>
  <c r="AF905" i="40" s="1"/>
  <c r="AF906" i="40" s="1"/>
  <c r="AF907" i="40" s="1"/>
  <c r="AF908" i="40" s="1"/>
  <c r="AF909" i="40" s="1"/>
  <c r="AF910" i="40" s="1"/>
  <c r="AF911" i="40" s="1"/>
  <c r="AF912" i="40" s="1"/>
  <c r="AF913" i="40" s="1"/>
  <c r="AF914" i="40" s="1"/>
  <c r="AF915" i="40" s="1"/>
  <c r="AF916" i="40" s="1"/>
  <c r="AF917" i="40" s="1"/>
  <c r="AF918" i="40" s="1"/>
  <c r="AF919" i="40" s="1"/>
  <c r="AF920" i="40" s="1"/>
  <c r="AF921" i="40" s="1"/>
  <c r="AF922" i="40" s="1"/>
  <c r="AF923" i="40" s="1"/>
  <c r="AF924" i="40" s="1"/>
  <c r="AF925" i="40" s="1"/>
  <c r="AF926" i="40" s="1"/>
  <c r="AF927" i="40" s="1"/>
  <c r="AF928" i="40" s="1"/>
  <c r="AF929" i="40" s="1"/>
  <c r="AF930" i="40" s="1"/>
  <c r="AF931" i="40" s="1"/>
  <c r="AF932" i="40" s="1"/>
  <c r="AF933" i="40" s="1"/>
  <c r="AF934" i="40" s="1"/>
  <c r="AF935" i="40" s="1"/>
  <c r="AF936" i="40" s="1"/>
  <c r="AF937" i="40" s="1"/>
  <c r="AF938" i="40" s="1"/>
  <c r="AF939" i="40" s="1"/>
  <c r="AF940" i="40" s="1"/>
  <c r="AF941" i="40" s="1"/>
  <c r="AF942" i="40" s="1"/>
  <c r="AF943" i="40" s="1"/>
  <c r="AF944" i="40" s="1"/>
  <c r="AF945" i="40" s="1"/>
  <c r="AF946" i="40" s="1"/>
  <c r="AF947" i="40" s="1"/>
  <c r="AF948" i="40" s="1"/>
  <c r="AF949" i="40" s="1"/>
  <c r="AF950" i="40" s="1"/>
  <c r="AF951" i="40" s="1"/>
  <c r="AF952" i="40" s="1"/>
  <c r="AF953" i="40" s="1"/>
  <c r="AF954" i="40" s="1"/>
  <c r="AF955" i="40" s="1"/>
  <c r="AF956" i="40" s="1"/>
  <c r="AF957" i="40" s="1"/>
  <c r="AF958" i="40" s="1"/>
  <c r="AF959" i="40" s="1"/>
  <c r="AF960" i="40" s="1"/>
  <c r="AF961" i="40" s="1"/>
  <c r="AF962" i="40" s="1"/>
  <c r="AF963" i="40" s="1"/>
  <c r="AF964" i="40" s="1"/>
  <c r="AF965" i="40" s="1"/>
  <c r="AF966" i="40" s="1"/>
  <c r="AF967" i="40" s="1"/>
  <c r="AF968" i="40" s="1"/>
  <c r="AF969" i="40" s="1"/>
  <c r="AF970" i="40" s="1"/>
  <c r="AF971" i="40" s="1"/>
  <c r="AF972" i="40" s="1"/>
  <c r="AF973" i="40" s="1"/>
  <c r="AF974" i="40" s="1"/>
  <c r="AF975" i="40" s="1"/>
  <c r="AF976" i="40" s="1"/>
  <c r="AF977" i="40" s="1"/>
  <c r="AF978" i="40" s="1"/>
  <c r="AF979" i="40" s="1"/>
  <c r="AF980" i="40" s="1"/>
  <c r="AF981" i="40" s="1"/>
  <c r="AF982" i="40" s="1"/>
  <c r="AF983" i="40" s="1"/>
  <c r="AF984" i="40" s="1"/>
  <c r="AF985" i="40" s="1"/>
  <c r="AF986" i="40" s="1"/>
  <c r="AF987" i="40" s="1"/>
  <c r="AF988" i="40" s="1"/>
  <c r="AF989" i="40" s="1"/>
  <c r="AF990" i="40" s="1"/>
  <c r="AF991" i="40" s="1"/>
  <c r="AF992" i="40" s="1"/>
  <c r="AF993" i="40" s="1"/>
  <c r="AF994" i="40" s="1"/>
  <c r="AF995" i="40" s="1"/>
  <c r="AF996" i="40" s="1"/>
  <c r="AF997" i="40" s="1"/>
  <c r="AF998" i="40" s="1"/>
  <c r="AF999" i="40" s="1"/>
  <c r="AF1000" i="40" s="1"/>
  <c r="AF1001" i="40" s="1"/>
  <c r="AF1002" i="40" s="1"/>
  <c r="AF1003" i="40" s="1"/>
  <c r="AG5" i="40"/>
  <c r="AG6" i="40" s="1"/>
  <c r="AG7" i="40" s="1"/>
  <c r="AG8" i="40" s="1"/>
  <c r="AG9" i="40" s="1"/>
  <c r="AG10" i="40" s="1"/>
  <c r="AG11" i="40" s="1"/>
  <c r="AG12" i="40" s="1"/>
  <c r="AG13" i="40" s="1"/>
  <c r="AG14" i="40" s="1"/>
  <c r="AG15" i="40" s="1"/>
  <c r="AG16" i="40" s="1"/>
  <c r="AG17" i="40" s="1"/>
  <c r="AG18" i="40" s="1"/>
  <c r="AG19" i="40" s="1"/>
  <c r="AG20" i="40" s="1"/>
  <c r="AG21" i="40" s="1"/>
  <c r="AG22" i="40" s="1"/>
  <c r="AG23" i="40" s="1"/>
  <c r="AG24" i="40" s="1"/>
  <c r="AG25" i="40" s="1"/>
  <c r="AG26" i="40" s="1"/>
  <c r="AG27" i="40" s="1"/>
  <c r="AG28" i="40" s="1"/>
  <c r="AG29" i="40" s="1"/>
  <c r="AG30" i="40" s="1"/>
  <c r="AG31" i="40" s="1"/>
  <c r="AG32" i="40" s="1"/>
  <c r="AG33" i="40" s="1"/>
  <c r="AG34" i="40" s="1"/>
  <c r="AG35" i="40" s="1"/>
  <c r="AG36" i="40" s="1"/>
  <c r="AG37" i="40" s="1"/>
  <c r="AG38" i="40" s="1"/>
  <c r="AG39" i="40" s="1"/>
  <c r="AG40" i="40" s="1"/>
  <c r="AG41" i="40" s="1"/>
  <c r="AG42" i="40" s="1"/>
  <c r="AG43" i="40" s="1"/>
  <c r="AG44" i="40" s="1"/>
  <c r="AG45" i="40" s="1"/>
  <c r="AG46" i="40" s="1"/>
  <c r="AG47" i="40" s="1"/>
  <c r="AG48" i="40" s="1"/>
  <c r="AG49" i="40" s="1"/>
  <c r="AG50" i="40" s="1"/>
  <c r="AG51" i="40" s="1"/>
  <c r="AG52" i="40" s="1"/>
  <c r="AG53" i="40" s="1"/>
  <c r="AG54" i="40" s="1"/>
  <c r="AG55" i="40" s="1"/>
  <c r="AG56" i="40" s="1"/>
  <c r="AG57" i="40" s="1"/>
  <c r="AG58" i="40" s="1"/>
  <c r="AG59" i="40" s="1"/>
  <c r="AG60" i="40" s="1"/>
  <c r="AG61" i="40" s="1"/>
  <c r="AG62" i="40" s="1"/>
  <c r="AG63" i="40" s="1"/>
  <c r="AG64" i="40" s="1"/>
  <c r="AG65" i="40" s="1"/>
  <c r="AG66" i="40" s="1"/>
  <c r="AG67" i="40" s="1"/>
  <c r="AG68" i="40" s="1"/>
  <c r="AG69" i="40" s="1"/>
  <c r="AG70" i="40" s="1"/>
  <c r="AG71" i="40" s="1"/>
  <c r="AG72" i="40" s="1"/>
  <c r="AG73" i="40" s="1"/>
  <c r="AG74" i="40" s="1"/>
  <c r="AG75" i="40" s="1"/>
  <c r="AG76" i="40" s="1"/>
  <c r="AG77" i="40" s="1"/>
  <c r="AG78" i="40" s="1"/>
  <c r="AG79" i="40" s="1"/>
  <c r="AG80" i="40" s="1"/>
  <c r="AG81" i="40" s="1"/>
  <c r="AG82" i="40" s="1"/>
  <c r="AG83" i="40" s="1"/>
  <c r="AG84" i="40" s="1"/>
  <c r="AG85" i="40" s="1"/>
  <c r="AG86" i="40" s="1"/>
  <c r="AG87" i="40" s="1"/>
  <c r="AG88" i="40" s="1"/>
  <c r="AG89" i="40" s="1"/>
  <c r="AG90" i="40" s="1"/>
  <c r="AG91" i="40" s="1"/>
  <c r="AG92" i="40" s="1"/>
  <c r="AG93" i="40" s="1"/>
  <c r="AG94" i="40" s="1"/>
  <c r="AG95" i="40" s="1"/>
  <c r="AG96" i="40" s="1"/>
  <c r="AG97" i="40" s="1"/>
  <c r="AG98" i="40" s="1"/>
  <c r="AG99" i="40" s="1"/>
  <c r="AG100" i="40" s="1"/>
  <c r="AG101" i="40" s="1"/>
  <c r="AG102" i="40" s="1"/>
  <c r="AG103" i="40" s="1"/>
  <c r="AG104" i="40" s="1"/>
  <c r="AG105" i="40" s="1"/>
  <c r="AG106" i="40" s="1"/>
  <c r="AG107" i="40" s="1"/>
  <c r="AG108" i="40" s="1"/>
  <c r="AG109" i="40" s="1"/>
  <c r="AG110" i="40" s="1"/>
  <c r="AG111" i="40" s="1"/>
  <c r="AG112" i="40" s="1"/>
  <c r="AG113" i="40" s="1"/>
  <c r="AG114" i="40" s="1"/>
  <c r="AG115" i="40" s="1"/>
  <c r="AG116" i="40" s="1"/>
  <c r="AG117" i="40" s="1"/>
  <c r="AG118" i="40" s="1"/>
  <c r="AG119" i="40" s="1"/>
  <c r="AG120" i="40" s="1"/>
  <c r="AG121" i="40" s="1"/>
  <c r="AG122" i="40" s="1"/>
  <c r="AG123" i="40" s="1"/>
  <c r="AG124" i="40" s="1"/>
  <c r="AG125" i="40" s="1"/>
  <c r="AG126" i="40" s="1"/>
  <c r="AG127" i="40" s="1"/>
  <c r="AG128" i="40" s="1"/>
  <c r="AG129" i="40" s="1"/>
  <c r="AG130" i="40" s="1"/>
  <c r="AG131" i="40" s="1"/>
  <c r="AG132" i="40" s="1"/>
  <c r="AG133" i="40" s="1"/>
  <c r="AG134" i="40" s="1"/>
  <c r="AG135" i="40" s="1"/>
  <c r="AG136" i="40" s="1"/>
  <c r="AG137" i="40" s="1"/>
  <c r="AG138" i="40" s="1"/>
  <c r="AG139" i="40" s="1"/>
  <c r="AG140" i="40" s="1"/>
  <c r="AG141" i="40" s="1"/>
  <c r="AG142" i="40" s="1"/>
  <c r="AG143" i="40" s="1"/>
  <c r="AG144" i="40" s="1"/>
  <c r="AG145" i="40" s="1"/>
  <c r="AG146" i="40" s="1"/>
  <c r="AG147" i="40" s="1"/>
  <c r="AG148" i="40" s="1"/>
  <c r="AG149" i="40" s="1"/>
  <c r="AG150" i="40" s="1"/>
  <c r="AG151" i="40" s="1"/>
  <c r="AG152" i="40" s="1"/>
  <c r="AG153" i="40" s="1"/>
  <c r="AG154" i="40" s="1"/>
  <c r="AG155" i="40" s="1"/>
  <c r="AG156" i="40" s="1"/>
  <c r="AG157" i="40" s="1"/>
  <c r="AG158" i="40" s="1"/>
  <c r="AG159" i="40" s="1"/>
  <c r="AG160" i="40" s="1"/>
  <c r="AG161" i="40" s="1"/>
  <c r="AG162" i="40" s="1"/>
  <c r="AG163" i="40" s="1"/>
  <c r="AG164" i="40" s="1"/>
  <c r="AG165" i="40" s="1"/>
  <c r="AG166" i="40" s="1"/>
  <c r="AG167" i="40" s="1"/>
  <c r="AG168" i="40" s="1"/>
  <c r="AG169" i="40" s="1"/>
  <c r="AG170" i="40" s="1"/>
  <c r="AG171" i="40" s="1"/>
  <c r="AG172" i="40" s="1"/>
  <c r="AG173" i="40" s="1"/>
  <c r="AG174" i="40" s="1"/>
  <c r="AG175" i="40" s="1"/>
  <c r="AG176" i="40" s="1"/>
  <c r="AG177" i="40" s="1"/>
  <c r="AG178" i="40" s="1"/>
  <c r="AG179" i="40" s="1"/>
  <c r="AG180" i="40" s="1"/>
  <c r="AG181" i="40" s="1"/>
  <c r="AG182" i="40" s="1"/>
  <c r="AG183" i="40" s="1"/>
  <c r="AG184" i="40" s="1"/>
  <c r="AG185" i="40" s="1"/>
  <c r="AG186" i="40" s="1"/>
  <c r="AG187" i="40" s="1"/>
  <c r="AG188" i="40" s="1"/>
  <c r="AG189" i="40" s="1"/>
  <c r="AG190" i="40" s="1"/>
  <c r="AG191" i="40" s="1"/>
  <c r="AG192" i="40" s="1"/>
  <c r="AG193" i="40" s="1"/>
  <c r="AG194" i="40" s="1"/>
  <c r="AG195" i="40" s="1"/>
  <c r="AG196" i="40" s="1"/>
  <c r="AG197" i="40" s="1"/>
  <c r="AG198" i="40" s="1"/>
  <c r="AG199" i="40" s="1"/>
  <c r="AG200" i="40" s="1"/>
  <c r="AG201" i="40" s="1"/>
  <c r="AG202" i="40" s="1"/>
  <c r="AG203" i="40" s="1"/>
  <c r="AG204" i="40" s="1"/>
  <c r="AG205" i="40" s="1"/>
  <c r="AG206" i="40" s="1"/>
  <c r="AG207" i="40" s="1"/>
  <c r="AG208" i="40" s="1"/>
  <c r="AG209" i="40" s="1"/>
  <c r="AG210" i="40" s="1"/>
  <c r="AG211" i="40" s="1"/>
  <c r="AG212" i="40" s="1"/>
  <c r="AG213" i="40" s="1"/>
  <c r="AG214" i="40" s="1"/>
  <c r="AG215" i="40" s="1"/>
  <c r="AG216" i="40" s="1"/>
  <c r="AG217" i="40" s="1"/>
  <c r="AG218" i="40" s="1"/>
  <c r="AG219" i="40" s="1"/>
  <c r="AG220" i="40" s="1"/>
  <c r="AG221" i="40" s="1"/>
  <c r="AG222" i="40" s="1"/>
  <c r="AG223" i="40" s="1"/>
  <c r="AG224" i="40" s="1"/>
  <c r="AG225" i="40" s="1"/>
  <c r="AG226" i="40" s="1"/>
  <c r="AG227" i="40" s="1"/>
  <c r="AG228" i="40" s="1"/>
  <c r="AG229" i="40" s="1"/>
  <c r="AG230" i="40" s="1"/>
  <c r="AG231" i="40" s="1"/>
  <c r="AG232" i="40" s="1"/>
  <c r="AG233" i="40" s="1"/>
  <c r="AG234" i="40" s="1"/>
  <c r="AG235" i="40" s="1"/>
  <c r="AG236" i="40" s="1"/>
  <c r="AG237" i="40" s="1"/>
  <c r="AG238" i="40" s="1"/>
  <c r="AG239" i="40" s="1"/>
  <c r="AG240" i="40" s="1"/>
  <c r="AG241" i="40" s="1"/>
  <c r="AG242" i="40" s="1"/>
  <c r="AG243" i="40" s="1"/>
  <c r="AG244" i="40" s="1"/>
  <c r="AG245" i="40" s="1"/>
  <c r="AG246" i="40" s="1"/>
  <c r="AG247" i="40" s="1"/>
  <c r="AG248" i="40" s="1"/>
  <c r="AG249" i="40" s="1"/>
  <c r="AG250" i="40" s="1"/>
  <c r="AG251" i="40" s="1"/>
  <c r="AG252" i="40" s="1"/>
  <c r="AG253" i="40" s="1"/>
  <c r="AG254" i="40" s="1"/>
  <c r="AG255" i="40" s="1"/>
  <c r="AG256" i="40" s="1"/>
  <c r="AG257" i="40" s="1"/>
  <c r="AG258" i="40" s="1"/>
  <c r="AG259" i="40" s="1"/>
  <c r="AG260" i="40" s="1"/>
  <c r="AG261" i="40" s="1"/>
  <c r="AG262" i="40" s="1"/>
  <c r="AG263" i="40" s="1"/>
  <c r="AG264" i="40" s="1"/>
  <c r="AG265" i="40" s="1"/>
  <c r="AG266" i="40" s="1"/>
  <c r="AG267" i="40" s="1"/>
  <c r="AG268" i="40" s="1"/>
  <c r="AG269" i="40" s="1"/>
  <c r="AG270" i="40" s="1"/>
  <c r="AG271" i="40" s="1"/>
  <c r="AG272" i="40" s="1"/>
  <c r="AG273" i="40" s="1"/>
  <c r="AG274" i="40" s="1"/>
  <c r="AG275" i="40" s="1"/>
  <c r="AG276" i="40" s="1"/>
  <c r="AG277" i="40" s="1"/>
  <c r="AG278" i="40" s="1"/>
  <c r="AG279" i="40" s="1"/>
  <c r="AG280" i="40" s="1"/>
  <c r="AG281" i="40" s="1"/>
  <c r="AG282" i="40" s="1"/>
  <c r="AG283" i="40" s="1"/>
  <c r="AG284" i="40" s="1"/>
  <c r="AG285" i="40" s="1"/>
  <c r="AG286" i="40" s="1"/>
  <c r="AG287" i="40" s="1"/>
  <c r="AG288" i="40" s="1"/>
  <c r="AG289" i="40" s="1"/>
  <c r="AG290" i="40" s="1"/>
  <c r="AG291" i="40" s="1"/>
  <c r="AG292" i="40" s="1"/>
  <c r="AG293" i="40" s="1"/>
  <c r="AG294" i="40" s="1"/>
  <c r="AG295" i="40" s="1"/>
  <c r="AG296" i="40" s="1"/>
  <c r="AG297" i="40" s="1"/>
  <c r="AG298" i="40" s="1"/>
  <c r="AG299" i="40" s="1"/>
  <c r="AG300" i="40" s="1"/>
  <c r="AG301" i="40" s="1"/>
  <c r="AG302" i="40" s="1"/>
  <c r="AG303" i="40" s="1"/>
  <c r="AG304" i="40" s="1"/>
  <c r="AG305" i="40" s="1"/>
  <c r="AG306" i="40" s="1"/>
  <c r="AG307" i="40" s="1"/>
  <c r="AG308" i="40" s="1"/>
  <c r="AG309" i="40" s="1"/>
  <c r="AG310" i="40" s="1"/>
  <c r="AG311" i="40" s="1"/>
  <c r="AG312" i="40" s="1"/>
  <c r="AG313" i="40" s="1"/>
  <c r="AG314" i="40" s="1"/>
  <c r="AG315" i="40" s="1"/>
  <c r="AG316" i="40" s="1"/>
  <c r="AG317" i="40" s="1"/>
  <c r="AG318" i="40" s="1"/>
  <c r="AG319" i="40" s="1"/>
  <c r="AG320" i="40" s="1"/>
  <c r="AG321" i="40" s="1"/>
  <c r="AG322" i="40" s="1"/>
  <c r="AG323" i="40" s="1"/>
  <c r="AG324" i="40" s="1"/>
  <c r="AG325" i="40" s="1"/>
  <c r="AG326" i="40" s="1"/>
  <c r="AG327" i="40" s="1"/>
  <c r="AG328" i="40" s="1"/>
  <c r="AG329" i="40" s="1"/>
  <c r="AG330" i="40" s="1"/>
  <c r="AG331" i="40" s="1"/>
  <c r="AG332" i="40" s="1"/>
  <c r="AG333" i="40" s="1"/>
  <c r="AG334" i="40" s="1"/>
  <c r="AG335" i="40" s="1"/>
  <c r="AG336" i="40" s="1"/>
  <c r="AG337" i="40" s="1"/>
  <c r="AG338" i="40" s="1"/>
  <c r="AG339" i="40" s="1"/>
  <c r="AG340" i="40" s="1"/>
  <c r="AG341" i="40" s="1"/>
  <c r="AG342" i="40" s="1"/>
  <c r="AG343" i="40" s="1"/>
  <c r="AG344" i="40" s="1"/>
  <c r="AG345" i="40" s="1"/>
  <c r="AG346" i="40" s="1"/>
  <c r="AG347" i="40" s="1"/>
  <c r="AG348" i="40" s="1"/>
  <c r="AG349" i="40" s="1"/>
  <c r="AG350" i="40" s="1"/>
  <c r="AG351" i="40" s="1"/>
  <c r="AG352" i="40" s="1"/>
  <c r="AG353" i="40" s="1"/>
  <c r="AG354" i="40" s="1"/>
  <c r="AG355" i="40" s="1"/>
  <c r="AG356" i="40" s="1"/>
  <c r="AG357" i="40" s="1"/>
  <c r="AG358" i="40" s="1"/>
  <c r="AG359" i="40" s="1"/>
  <c r="AG360" i="40" s="1"/>
  <c r="AG361" i="40" s="1"/>
  <c r="AG362" i="40" s="1"/>
  <c r="AG363" i="40" s="1"/>
  <c r="AG364" i="40" s="1"/>
  <c r="AG365" i="40" s="1"/>
  <c r="AG366" i="40" s="1"/>
  <c r="AG367" i="40" s="1"/>
  <c r="AG368" i="40" s="1"/>
  <c r="AG369" i="40" s="1"/>
  <c r="AG370" i="40" s="1"/>
  <c r="AG371" i="40" s="1"/>
  <c r="AG372" i="40" s="1"/>
  <c r="AG373" i="40" s="1"/>
  <c r="AG374" i="40" s="1"/>
  <c r="AG375" i="40" s="1"/>
  <c r="AG376" i="40" s="1"/>
  <c r="AG377" i="40" s="1"/>
  <c r="AG378" i="40" s="1"/>
  <c r="AG379" i="40" s="1"/>
  <c r="AG380" i="40" s="1"/>
  <c r="AG381" i="40" s="1"/>
  <c r="AG382" i="40" s="1"/>
  <c r="AG383" i="40" s="1"/>
  <c r="AG384" i="40" s="1"/>
  <c r="AG385" i="40" s="1"/>
  <c r="AG386" i="40" s="1"/>
  <c r="AG387" i="40" s="1"/>
  <c r="AG388" i="40" s="1"/>
  <c r="AG389" i="40" s="1"/>
  <c r="AG390" i="40" s="1"/>
  <c r="AG391" i="40" s="1"/>
  <c r="AG392" i="40" s="1"/>
  <c r="AG393" i="40" s="1"/>
  <c r="AG394" i="40" s="1"/>
  <c r="AG395" i="40" s="1"/>
  <c r="AG396" i="40" s="1"/>
  <c r="AG397" i="40" s="1"/>
  <c r="AG398" i="40" s="1"/>
  <c r="AG399" i="40" s="1"/>
  <c r="AG400" i="40" s="1"/>
  <c r="AG401" i="40" s="1"/>
  <c r="AG402" i="40" s="1"/>
  <c r="AG403" i="40" s="1"/>
  <c r="AG404" i="40" s="1"/>
  <c r="AG405" i="40" s="1"/>
  <c r="AG406" i="40" s="1"/>
  <c r="AG407" i="40" s="1"/>
  <c r="AG408" i="40" s="1"/>
  <c r="AG409" i="40" s="1"/>
  <c r="AG410" i="40" s="1"/>
  <c r="AG411" i="40" s="1"/>
  <c r="AG412" i="40" s="1"/>
  <c r="AG413" i="40" s="1"/>
  <c r="AG414" i="40" s="1"/>
  <c r="AG415" i="40" s="1"/>
  <c r="AG416" i="40" s="1"/>
  <c r="AG417" i="40" s="1"/>
  <c r="AG418" i="40" s="1"/>
  <c r="AG419" i="40" s="1"/>
  <c r="AG420" i="40" s="1"/>
  <c r="AG421" i="40" s="1"/>
  <c r="AG422" i="40" s="1"/>
  <c r="AG423" i="40" s="1"/>
  <c r="AG424" i="40" s="1"/>
  <c r="AG425" i="40" s="1"/>
  <c r="AG426" i="40" s="1"/>
  <c r="AG427" i="40" s="1"/>
  <c r="AG428" i="40" s="1"/>
  <c r="AG429" i="40" s="1"/>
  <c r="AG430" i="40" s="1"/>
  <c r="AG431" i="40" s="1"/>
  <c r="AG432" i="40" s="1"/>
  <c r="AG433" i="40" s="1"/>
  <c r="AG434" i="40" s="1"/>
  <c r="AG435" i="40" s="1"/>
  <c r="AG436" i="40" s="1"/>
  <c r="AG437" i="40" s="1"/>
  <c r="AG438" i="40" s="1"/>
  <c r="AG439" i="40" s="1"/>
  <c r="AG440" i="40" s="1"/>
  <c r="AG441" i="40" s="1"/>
  <c r="AG442" i="40" s="1"/>
  <c r="AG443" i="40" s="1"/>
  <c r="AG444" i="40" s="1"/>
  <c r="AG445" i="40" s="1"/>
  <c r="AG446" i="40" s="1"/>
  <c r="AG447" i="40" s="1"/>
  <c r="AG448" i="40" s="1"/>
  <c r="AG449" i="40" s="1"/>
  <c r="AG450" i="40" s="1"/>
  <c r="AG451" i="40" s="1"/>
  <c r="AG452" i="40" s="1"/>
  <c r="AG453" i="40" s="1"/>
  <c r="AG454" i="40" s="1"/>
  <c r="AG455" i="40" s="1"/>
  <c r="AG456" i="40" s="1"/>
  <c r="AG457" i="40" s="1"/>
  <c r="AG458" i="40" s="1"/>
  <c r="AG459" i="40" s="1"/>
  <c r="AG460" i="40" s="1"/>
  <c r="AG461" i="40" s="1"/>
  <c r="AG462" i="40" s="1"/>
  <c r="AG463" i="40" s="1"/>
  <c r="AG464" i="40" s="1"/>
  <c r="AG465" i="40" s="1"/>
  <c r="AG466" i="40" s="1"/>
  <c r="AG467" i="40" s="1"/>
  <c r="AG468" i="40" s="1"/>
  <c r="AG469" i="40" s="1"/>
  <c r="AG470" i="40" s="1"/>
  <c r="AG471" i="40" s="1"/>
  <c r="AG472" i="40" s="1"/>
  <c r="AG473" i="40" s="1"/>
  <c r="AG474" i="40" s="1"/>
  <c r="AG475" i="40" s="1"/>
  <c r="AG476" i="40" s="1"/>
  <c r="AG477" i="40" s="1"/>
  <c r="AG478" i="40" s="1"/>
  <c r="AG479" i="40" s="1"/>
  <c r="AG480" i="40" s="1"/>
  <c r="AG481" i="40" s="1"/>
  <c r="AG482" i="40" s="1"/>
  <c r="AG483" i="40" s="1"/>
  <c r="AG484" i="40" s="1"/>
  <c r="AG485" i="40" s="1"/>
  <c r="AG486" i="40" s="1"/>
  <c r="AG487" i="40" s="1"/>
  <c r="AG488" i="40" s="1"/>
  <c r="AG489" i="40" s="1"/>
  <c r="AG490" i="40" s="1"/>
  <c r="AG491" i="40" s="1"/>
  <c r="AG492" i="40" s="1"/>
  <c r="AG493" i="40" s="1"/>
  <c r="AG494" i="40" s="1"/>
  <c r="AG495" i="40" s="1"/>
  <c r="AG496" i="40" s="1"/>
  <c r="AG497" i="40" s="1"/>
  <c r="AG498" i="40" s="1"/>
  <c r="AG499" i="40" s="1"/>
  <c r="AG500" i="40" s="1"/>
  <c r="AG501" i="40" s="1"/>
  <c r="AG502" i="40" s="1"/>
  <c r="AG503" i="40" s="1"/>
  <c r="AG504" i="40" s="1"/>
  <c r="AG505" i="40" s="1"/>
  <c r="AG506" i="40" s="1"/>
  <c r="AG507" i="40" s="1"/>
  <c r="AG508" i="40" s="1"/>
  <c r="AG509" i="40" s="1"/>
  <c r="AG510" i="40" s="1"/>
  <c r="AG511" i="40" s="1"/>
  <c r="AG512" i="40" s="1"/>
  <c r="AG513" i="40" s="1"/>
  <c r="AG514" i="40" s="1"/>
  <c r="AG515" i="40" s="1"/>
  <c r="AG516" i="40" s="1"/>
  <c r="AG517" i="40" s="1"/>
  <c r="AG518" i="40" s="1"/>
  <c r="AG519" i="40" s="1"/>
  <c r="AG520" i="40" s="1"/>
  <c r="AG521" i="40" s="1"/>
  <c r="AG522" i="40" s="1"/>
  <c r="AG523" i="40" s="1"/>
  <c r="AG524" i="40" s="1"/>
  <c r="AG525" i="40" s="1"/>
  <c r="AG526" i="40" s="1"/>
  <c r="AG527" i="40" s="1"/>
  <c r="AG528" i="40" s="1"/>
  <c r="AG529" i="40" s="1"/>
  <c r="AG530" i="40" s="1"/>
  <c r="AG531" i="40" s="1"/>
  <c r="AG532" i="40" s="1"/>
  <c r="AG533" i="40" s="1"/>
  <c r="AG534" i="40" s="1"/>
  <c r="AG535" i="40" s="1"/>
  <c r="AG536" i="40" s="1"/>
  <c r="AG537" i="40" s="1"/>
  <c r="AG538" i="40" s="1"/>
  <c r="AG539" i="40" s="1"/>
  <c r="AG540" i="40" s="1"/>
  <c r="AG541" i="40" s="1"/>
  <c r="AG542" i="40" s="1"/>
  <c r="AG543" i="40" s="1"/>
  <c r="AG544" i="40" s="1"/>
  <c r="AG545" i="40" s="1"/>
  <c r="AG546" i="40" s="1"/>
  <c r="AG547" i="40" s="1"/>
  <c r="AG548" i="40" s="1"/>
  <c r="AG549" i="40" s="1"/>
  <c r="AG550" i="40" s="1"/>
  <c r="AG551" i="40" s="1"/>
  <c r="AG552" i="40" s="1"/>
  <c r="AG553" i="40" s="1"/>
  <c r="AG554" i="40" s="1"/>
  <c r="AG555" i="40" s="1"/>
  <c r="AG556" i="40" s="1"/>
  <c r="AG557" i="40" s="1"/>
  <c r="AG558" i="40" s="1"/>
  <c r="AG559" i="40" s="1"/>
  <c r="AG560" i="40" s="1"/>
  <c r="AG561" i="40" s="1"/>
  <c r="AG562" i="40" s="1"/>
  <c r="AG563" i="40" s="1"/>
  <c r="AG564" i="40" s="1"/>
  <c r="AG565" i="40" s="1"/>
  <c r="AG566" i="40" s="1"/>
  <c r="AG567" i="40" s="1"/>
  <c r="AG568" i="40" s="1"/>
  <c r="AG569" i="40" s="1"/>
  <c r="AG570" i="40" s="1"/>
  <c r="AG571" i="40" s="1"/>
  <c r="AG572" i="40" s="1"/>
  <c r="AG573" i="40" s="1"/>
  <c r="AG574" i="40" s="1"/>
  <c r="AG575" i="40" s="1"/>
  <c r="AG576" i="40" s="1"/>
  <c r="AG577" i="40" s="1"/>
  <c r="AG578" i="40" s="1"/>
  <c r="AG579" i="40" s="1"/>
  <c r="AG580" i="40" s="1"/>
  <c r="AG581" i="40" s="1"/>
  <c r="AG582" i="40" s="1"/>
  <c r="AG583" i="40" s="1"/>
  <c r="AG584" i="40" s="1"/>
  <c r="AG585" i="40" s="1"/>
  <c r="AG586" i="40" s="1"/>
  <c r="AG587" i="40" s="1"/>
  <c r="AG588" i="40" s="1"/>
  <c r="AG589" i="40" s="1"/>
  <c r="AG590" i="40" s="1"/>
  <c r="AG591" i="40" s="1"/>
  <c r="AG592" i="40" s="1"/>
  <c r="AG593" i="40" s="1"/>
  <c r="AG594" i="40" s="1"/>
  <c r="AG595" i="40" s="1"/>
  <c r="AG596" i="40" s="1"/>
  <c r="AG597" i="40" s="1"/>
  <c r="AG598" i="40" s="1"/>
  <c r="AG599" i="40" s="1"/>
  <c r="AG600" i="40" s="1"/>
  <c r="AG601" i="40" s="1"/>
  <c r="AG602" i="40" s="1"/>
  <c r="AG603" i="40" s="1"/>
  <c r="AG604" i="40" s="1"/>
  <c r="AG605" i="40" s="1"/>
  <c r="AG606" i="40" s="1"/>
  <c r="AG607" i="40" s="1"/>
  <c r="AG608" i="40" s="1"/>
  <c r="AG609" i="40" s="1"/>
  <c r="AG610" i="40" s="1"/>
  <c r="AG611" i="40" s="1"/>
  <c r="AG612" i="40" s="1"/>
  <c r="AG613" i="40" s="1"/>
  <c r="AG614" i="40" s="1"/>
  <c r="AG615" i="40" s="1"/>
  <c r="AG616" i="40" s="1"/>
  <c r="AG617" i="40" s="1"/>
  <c r="AG618" i="40" s="1"/>
  <c r="AG619" i="40" s="1"/>
  <c r="AG620" i="40" s="1"/>
  <c r="AG621" i="40" s="1"/>
  <c r="AG622" i="40" s="1"/>
  <c r="AG623" i="40" s="1"/>
  <c r="AG624" i="40" s="1"/>
  <c r="AG625" i="40" s="1"/>
  <c r="AG626" i="40" s="1"/>
  <c r="AG627" i="40" s="1"/>
  <c r="AG628" i="40" s="1"/>
  <c r="AG629" i="40" s="1"/>
  <c r="AG630" i="40" s="1"/>
  <c r="AG631" i="40" s="1"/>
  <c r="AG632" i="40" s="1"/>
  <c r="AG633" i="40" s="1"/>
  <c r="AG634" i="40" s="1"/>
  <c r="AG635" i="40" s="1"/>
  <c r="AG636" i="40" s="1"/>
  <c r="AG637" i="40" s="1"/>
  <c r="AG638" i="40" s="1"/>
  <c r="AG639" i="40" s="1"/>
  <c r="AG640" i="40" s="1"/>
  <c r="AG641" i="40" s="1"/>
  <c r="AG642" i="40" s="1"/>
  <c r="AG643" i="40" s="1"/>
  <c r="AG644" i="40" s="1"/>
  <c r="AG645" i="40" s="1"/>
  <c r="AG646" i="40" s="1"/>
  <c r="AG647" i="40" s="1"/>
  <c r="AG648" i="40" s="1"/>
  <c r="AG649" i="40" s="1"/>
  <c r="AG650" i="40" s="1"/>
  <c r="AG651" i="40" s="1"/>
  <c r="AG652" i="40" s="1"/>
  <c r="AG653" i="40" s="1"/>
  <c r="AG654" i="40" s="1"/>
  <c r="AG655" i="40" s="1"/>
  <c r="AG656" i="40" s="1"/>
  <c r="AG657" i="40" s="1"/>
  <c r="AG658" i="40" s="1"/>
  <c r="AG659" i="40" s="1"/>
  <c r="AG660" i="40" s="1"/>
  <c r="AG661" i="40" s="1"/>
  <c r="AG662" i="40" s="1"/>
  <c r="AG663" i="40" s="1"/>
  <c r="AG664" i="40" s="1"/>
  <c r="AG665" i="40" s="1"/>
  <c r="AG666" i="40" s="1"/>
  <c r="AG667" i="40" s="1"/>
  <c r="AG668" i="40" s="1"/>
  <c r="AG669" i="40" s="1"/>
  <c r="AG670" i="40" s="1"/>
  <c r="AG671" i="40" s="1"/>
  <c r="AG672" i="40" s="1"/>
  <c r="AG673" i="40" s="1"/>
  <c r="AG674" i="40" s="1"/>
  <c r="AG675" i="40" s="1"/>
  <c r="AG676" i="40" s="1"/>
  <c r="AG677" i="40" s="1"/>
  <c r="AG678" i="40" s="1"/>
  <c r="AG679" i="40" s="1"/>
  <c r="AG680" i="40" s="1"/>
  <c r="AG681" i="40" s="1"/>
  <c r="AG682" i="40" s="1"/>
  <c r="AG683" i="40" s="1"/>
  <c r="AG684" i="40" s="1"/>
  <c r="AG685" i="40" s="1"/>
  <c r="AG686" i="40" s="1"/>
  <c r="AG687" i="40" s="1"/>
  <c r="AG688" i="40" s="1"/>
  <c r="AG689" i="40" s="1"/>
  <c r="AG690" i="40" s="1"/>
  <c r="AG691" i="40" s="1"/>
  <c r="AG692" i="40" s="1"/>
  <c r="AG693" i="40" s="1"/>
  <c r="AG694" i="40" s="1"/>
  <c r="AG695" i="40" s="1"/>
  <c r="AG696" i="40" s="1"/>
  <c r="AG697" i="40" s="1"/>
  <c r="AG698" i="40" s="1"/>
  <c r="AG699" i="40" s="1"/>
  <c r="AG700" i="40" s="1"/>
  <c r="AG701" i="40" s="1"/>
  <c r="AG702" i="40" s="1"/>
  <c r="AG703" i="40" s="1"/>
  <c r="AG704" i="40" s="1"/>
  <c r="AG705" i="40" s="1"/>
  <c r="AG706" i="40" s="1"/>
  <c r="AG707" i="40" s="1"/>
  <c r="AG708" i="40" s="1"/>
  <c r="AG709" i="40" s="1"/>
  <c r="AG710" i="40" s="1"/>
  <c r="AG711" i="40" s="1"/>
  <c r="AG712" i="40" s="1"/>
  <c r="AG713" i="40" s="1"/>
  <c r="AG714" i="40" s="1"/>
  <c r="AG715" i="40" s="1"/>
  <c r="AG716" i="40" s="1"/>
  <c r="AG717" i="40" s="1"/>
  <c r="AG718" i="40" s="1"/>
  <c r="AG719" i="40" s="1"/>
  <c r="AG720" i="40" s="1"/>
  <c r="AG721" i="40" s="1"/>
  <c r="AG722" i="40" s="1"/>
  <c r="AG723" i="40" s="1"/>
  <c r="AG724" i="40" s="1"/>
  <c r="AG725" i="40" s="1"/>
  <c r="AG726" i="40" s="1"/>
  <c r="AG727" i="40" s="1"/>
  <c r="AG728" i="40" s="1"/>
  <c r="AG729" i="40" s="1"/>
  <c r="AG730" i="40" s="1"/>
  <c r="AG731" i="40" s="1"/>
  <c r="AG732" i="40" s="1"/>
  <c r="AG733" i="40" s="1"/>
  <c r="AG734" i="40" s="1"/>
  <c r="AG735" i="40" s="1"/>
  <c r="AG736" i="40" s="1"/>
  <c r="AG737" i="40" s="1"/>
  <c r="AG738" i="40" s="1"/>
  <c r="AG739" i="40" s="1"/>
  <c r="AG740" i="40" s="1"/>
  <c r="AG741" i="40" s="1"/>
  <c r="AG742" i="40" s="1"/>
  <c r="AG743" i="40" s="1"/>
  <c r="AG744" i="40" s="1"/>
  <c r="AG745" i="40" s="1"/>
  <c r="AG746" i="40" s="1"/>
  <c r="AG747" i="40" s="1"/>
  <c r="AG748" i="40" s="1"/>
  <c r="AG749" i="40" s="1"/>
  <c r="AG750" i="40" s="1"/>
  <c r="AG751" i="40" s="1"/>
  <c r="AG752" i="40" s="1"/>
  <c r="AG753" i="40" s="1"/>
  <c r="AG754" i="40" s="1"/>
  <c r="AG755" i="40" s="1"/>
  <c r="AG756" i="40" s="1"/>
  <c r="AG757" i="40" s="1"/>
  <c r="AG758" i="40" s="1"/>
  <c r="AG759" i="40" s="1"/>
  <c r="AG760" i="40" s="1"/>
  <c r="AG761" i="40" s="1"/>
  <c r="AG762" i="40" s="1"/>
  <c r="AG763" i="40" s="1"/>
  <c r="AG764" i="40" s="1"/>
  <c r="AG765" i="40" s="1"/>
  <c r="AG766" i="40" s="1"/>
  <c r="AG767" i="40" s="1"/>
  <c r="AG768" i="40" s="1"/>
  <c r="AG769" i="40" s="1"/>
  <c r="AG770" i="40" s="1"/>
  <c r="AG771" i="40" s="1"/>
  <c r="AG772" i="40" s="1"/>
  <c r="AG773" i="40" s="1"/>
  <c r="AG774" i="40" s="1"/>
  <c r="AG775" i="40" s="1"/>
  <c r="AG776" i="40" s="1"/>
  <c r="AG777" i="40" s="1"/>
  <c r="AG778" i="40" s="1"/>
  <c r="AG779" i="40" s="1"/>
  <c r="AG780" i="40" s="1"/>
  <c r="AG781" i="40" s="1"/>
  <c r="AG782" i="40" s="1"/>
  <c r="AG783" i="40" s="1"/>
  <c r="AG784" i="40" s="1"/>
  <c r="AG785" i="40" s="1"/>
  <c r="AG786" i="40" s="1"/>
  <c r="AG787" i="40" s="1"/>
  <c r="AG788" i="40" s="1"/>
  <c r="AG789" i="40" s="1"/>
  <c r="AG790" i="40" s="1"/>
  <c r="AG791" i="40" s="1"/>
  <c r="AG792" i="40" s="1"/>
  <c r="AG793" i="40" s="1"/>
  <c r="AG794" i="40" s="1"/>
  <c r="AG795" i="40" s="1"/>
  <c r="AG796" i="40" s="1"/>
  <c r="AG797" i="40" s="1"/>
  <c r="AG798" i="40" s="1"/>
  <c r="AG799" i="40" s="1"/>
  <c r="AG800" i="40" s="1"/>
  <c r="AG801" i="40" s="1"/>
  <c r="AG802" i="40" s="1"/>
  <c r="AG803" i="40" s="1"/>
  <c r="AG804" i="40" s="1"/>
  <c r="AG805" i="40" s="1"/>
  <c r="AG806" i="40" s="1"/>
  <c r="AG807" i="40" s="1"/>
  <c r="AG808" i="40" s="1"/>
  <c r="AG809" i="40" s="1"/>
  <c r="AG810" i="40" s="1"/>
  <c r="AG811" i="40" s="1"/>
  <c r="AG812" i="40" s="1"/>
  <c r="AG813" i="40" s="1"/>
  <c r="AG814" i="40" s="1"/>
  <c r="AG815" i="40" s="1"/>
  <c r="AG816" i="40" s="1"/>
  <c r="AG817" i="40" s="1"/>
  <c r="AG818" i="40" s="1"/>
  <c r="AG819" i="40" s="1"/>
  <c r="AG820" i="40" s="1"/>
  <c r="AG821" i="40" s="1"/>
  <c r="AG822" i="40" s="1"/>
  <c r="AG823" i="40" s="1"/>
  <c r="AG824" i="40" s="1"/>
  <c r="AG825" i="40" s="1"/>
  <c r="AG826" i="40" s="1"/>
  <c r="AG827" i="40" s="1"/>
  <c r="AG828" i="40" s="1"/>
  <c r="AG829" i="40" s="1"/>
  <c r="AG830" i="40" s="1"/>
  <c r="AG831" i="40" s="1"/>
  <c r="AG832" i="40" s="1"/>
  <c r="AG833" i="40" s="1"/>
  <c r="AG834" i="40" s="1"/>
  <c r="AG835" i="40" s="1"/>
  <c r="AG836" i="40" s="1"/>
  <c r="AG837" i="40" s="1"/>
  <c r="AG838" i="40" s="1"/>
  <c r="AG839" i="40" s="1"/>
  <c r="AG840" i="40" s="1"/>
  <c r="AG841" i="40" s="1"/>
  <c r="AG842" i="40" s="1"/>
  <c r="AG843" i="40" s="1"/>
  <c r="AG844" i="40" s="1"/>
  <c r="AG845" i="40" s="1"/>
  <c r="AG846" i="40" s="1"/>
  <c r="AG847" i="40" s="1"/>
  <c r="AG848" i="40" s="1"/>
  <c r="AG849" i="40" s="1"/>
  <c r="AG850" i="40" s="1"/>
  <c r="AG851" i="40" s="1"/>
  <c r="AG852" i="40" s="1"/>
  <c r="AG853" i="40" s="1"/>
  <c r="AG854" i="40" s="1"/>
  <c r="AG855" i="40" s="1"/>
  <c r="AG856" i="40" s="1"/>
  <c r="AG857" i="40" s="1"/>
  <c r="AG858" i="40" s="1"/>
  <c r="AG859" i="40" s="1"/>
  <c r="AG860" i="40" s="1"/>
  <c r="AG861" i="40" s="1"/>
  <c r="AG862" i="40" s="1"/>
  <c r="AG863" i="40" s="1"/>
  <c r="AG864" i="40" s="1"/>
  <c r="AG865" i="40" s="1"/>
  <c r="AG866" i="40" s="1"/>
  <c r="AG867" i="40" s="1"/>
  <c r="AG868" i="40" s="1"/>
  <c r="AG869" i="40" s="1"/>
  <c r="AG870" i="40" s="1"/>
  <c r="AG871" i="40" s="1"/>
  <c r="AG872" i="40" s="1"/>
  <c r="AG873" i="40" s="1"/>
  <c r="AG874" i="40" s="1"/>
  <c r="AG875" i="40" s="1"/>
  <c r="AG876" i="40" s="1"/>
  <c r="AG877" i="40" s="1"/>
  <c r="AG878" i="40" s="1"/>
  <c r="AG879" i="40" s="1"/>
  <c r="AG880" i="40" s="1"/>
  <c r="AG881" i="40" s="1"/>
  <c r="AG882" i="40" s="1"/>
  <c r="AG883" i="40" s="1"/>
  <c r="AG884" i="40" s="1"/>
  <c r="AG885" i="40" s="1"/>
  <c r="AG886" i="40" s="1"/>
  <c r="AG887" i="40" s="1"/>
  <c r="AG888" i="40" s="1"/>
  <c r="AG889" i="40" s="1"/>
  <c r="AG890" i="40" s="1"/>
  <c r="AG891" i="40" s="1"/>
  <c r="AG892" i="40" s="1"/>
  <c r="AG893" i="40" s="1"/>
  <c r="AG894" i="40" s="1"/>
  <c r="AG895" i="40" s="1"/>
  <c r="AG896" i="40" s="1"/>
  <c r="AG897" i="40" s="1"/>
  <c r="AG898" i="40" s="1"/>
  <c r="AG899" i="40" s="1"/>
  <c r="AG900" i="40" s="1"/>
  <c r="AG901" i="40" s="1"/>
  <c r="AG902" i="40" s="1"/>
  <c r="AG903" i="40" s="1"/>
  <c r="AG904" i="40" s="1"/>
  <c r="AG905" i="40" s="1"/>
  <c r="AG906" i="40" s="1"/>
  <c r="AG907" i="40" s="1"/>
  <c r="AG908" i="40" s="1"/>
  <c r="AG909" i="40" s="1"/>
  <c r="AG910" i="40" s="1"/>
  <c r="AG911" i="40" s="1"/>
  <c r="AG912" i="40" s="1"/>
  <c r="AG913" i="40" s="1"/>
  <c r="AG914" i="40" s="1"/>
  <c r="AG915" i="40" s="1"/>
  <c r="AG916" i="40" s="1"/>
  <c r="AG917" i="40" s="1"/>
  <c r="AG918" i="40" s="1"/>
  <c r="AG919" i="40" s="1"/>
  <c r="AG920" i="40" s="1"/>
  <c r="AG921" i="40" s="1"/>
  <c r="AG922" i="40" s="1"/>
  <c r="AG923" i="40" s="1"/>
  <c r="AG924" i="40" s="1"/>
  <c r="AG925" i="40" s="1"/>
  <c r="AG926" i="40" s="1"/>
  <c r="AG927" i="40" s="1"/>
  <c r="AG928" i="40" s="1"/>
  <c r="AG929" i="40" s="1"/>
  <c r="AG930" i="40" s="1"/>
  <c r="AG931" i="40" s="1"/>
  <c r="AG932" i="40" s="1"/>
  <c r="AG933" i="40" s="1"/>
  <c r="AG934" i="40" s="1"/>
  <c r="AG935" i="40" s="1"/>
  <c r="AG936" i="40" s="1"/>
  <c r="AG937" i="40" s="1"/>
  <c r="AG938" i="40" s="1"/>
  <c r="AG939" i="40" s="1"/>
  <c r="AG940" i="40" s="1"/>
  <c r="AG941" i="40" s="1"/>
  <c r="AG942" i="40" s="1"/>
  <c r="AG943" i="40" s="1"/>
  <c r="AG944" i="40" s="1"/>
  <c r="AG945" i="40" s="1"/>
  <c r="AG946" i="40" s="1"/>
  <c r="AG947" i="40" s="1"/>
  <c r="AG948" i="40" s="1"/>
  <c r="AG949" i="40" s="1"/>
  <c r="AG950" i="40" s="1"/>
  <c r="AG951" i="40" s="1"/>
  <c r="AG952" i="40" s="1"/>
  <c r="AG953" i="40" s="1"/>
  <c r="AG954" i="40" s="1"/>
  <c r="AG955" i="40" s="1"/>
  <c r="AG956" i="40" s="1"/>
  <c r="AG957" i="40" s="1"/>
  <c r="AG958" i="40" s="1"/>
  <c r="AG959" i="40" s="1"/>
  <c r="AG960" i="40" s="1"/>
  <c r="AG961" i="40" s="1"/>
  <c r="AG962" i="40" s="1"/>
  <c r="AG963" i="40" s="1"/>
  <c r="AG964" i="40" s="1"/>
  <c r="AG965" i="40" s="1"/>
  <c r="AG966" i="40" s="1"/>
  <c r="AG967" i="40" s="1"/>
  <c r="AG968" i="40" s="1"/>
  <c r="AG969" i="40" s="1"/>
  <c r="AG970" i="40" s="1"/>
  <c r="AG971" i="40" s="1"/>
  <c r="AG972" i="40" s="1"/>
  <c r="AG973" i="40" s="1"/>
  <c r="AG974" i="40" s="1"/>
  <c r="AG975" i="40" s="1"/>
  <c r="AG976" i="40" s="1"/>
  <c r="AG977" i="40" s="1"/>
  <c r="AG978" i="40" s="1"/>
  <c r="AG979" i="40" s="1"/>
  <c r="AG980" i="40" s="1"/>
  <c r="AG981" i="40" s="1"/>
  <c r="AG982" i="40" s="1"/>
  <c r="AG983" i="40" s="1"/>
  <c r="AG984" i="40" s="1"/>
  <c r="AG985" i="40" s="1"/>
  <c r="AG986" i="40" s="1"/>
  <c r="AG987" i="40" s="1"/>
  <c r="AG988" i="40" s="1"/>
  <c r="AG989" i="40" s="1"/>
  <c r="AG990" i="40" s="1"/>
  <c r="AG991" i="40" s="1"/>
  <c r="AG992" i="40" s="1"/>
  <c r="AG993" i="40" s="1"/>
  <c r="AG994" i="40" s="1"/>
  <c r="AG995" i="40" s="1"/>
  <c r="AG996" i="40" s="1"/>
  <c r="AG997" i="40" s="1"/>
  <c r="AG998" i="40" s="1"/>
  <c r="AG999" i="40" s="1"/>
  <c r="AG1000" i="40" s="1"/>
  <c r="AG1001" i="40" s="1"/>
  <c r="AG1002" i="40" s="1"/>
  <c r="AG1003" i="40" s="1"/>
  <c r="H7" i="3" l="1"/>
  <c r="S12" i="3"/>
  <c r="Q18" i="3" s="1"/>
  <c r="Q19" i="3" s="1"/>
  <c r="C15" i="41"/>
  <c r="D15" i="41"/>
  <c r="F15" i="41" s="1"/>
  <c r="A18" i="3"/>
  <c r="E14" i="41"/>
  <c r="E18" i="3" s="1"/>
  <c r="E15" i="41"/>
  <c r="F14" i="41"/>
  <c r="S14" i="41"/>
  <c r="B16" i="41"/>
  <c r="Y16" i="41" s="1"/>
  <c r="Q14" i="41"/>
  <c r="C19" i="3"/>
  <c r="K19" i="3"/>
  <c r="R18" i="3" l="1"/>
  <c r="C16" i="41"/>
  <c r="D16" i="41"/>
  <c r="F16" i="41" s="1"/>
  <c r="A19" i="3"/>
  <c r="C20" i="3"/>
  <c r="H14" i="41"/>
  <c r="K14" i="41" s="1"/>
  <c r="K20" i="3"/>
  <c r="B17" i="41"/>
  <c r="Y17" i="41" s="1"/>
  <c r="R16" i="41"/>
  <c r="P16" i="41"/>
  <c r="R15" i="41"/>
  <c r="I14" i="41"/>
  <c r="L14" i="41" s="1"/>
  <c r="P15" i="41"/>
  <c r="H15" i="41"/>
  <c r="X18" i="19"/>
  <c r="C17" i="41" l="1"/>
  <c r="D17" i="41"/>
  <c r="F17" i="41" s="1"/>
  <c r="A20" i="3"/>
  <c r="J14" i="41"/>
  <c r="I18" i="3" s="1"/>
  <c r="M18" i="3" s="1"/>
  <c r="G14" i="41"/>
  <c r="F18" i="3" s="1"/>
  <c r="C21" i="3"/>
  <c r="K21" i="3"/>
  <c r="B18" i="41"/>
  <c r="Y18" i="41" s="1"/>
  <c r="E16" i="41"/>
  <c r="H16" i="41" s="1"/>
  <c r="E17" i="41"/>
  <c r="K15" i="41"/>
  <c r="X18" i="3"/>
  <c r="D18" i="41" l="1"/>
  <c r="C18" i="41"/>
  <c r="A21" i="3"/>
  <c r="C22" i="3"/>
  <c r="R17" i="41"/>
  <c r="H17" i="41"/>
  <c r="K17" i="41" s="1"/>
  <c r="R18" i="41"/>
  <c r="E18" i="41"/>
  <c r="B19" i="41"/>
  <c r="Y19" i="41" s="1"/>
  <c r="K22" i="3"/>
  <c r="K16" i="41"/>
  <c r="P17" i="41"/>
  <c r="C19" i="41" l="1"/>
  <c r="E19" i="41" s="1"/>
  <c r="D19" i="41"/>
  <c r="R19" i="41" s="1"/>
  <c r="A22" i="3"/>
  <c r="C23" i="3"/>
  <c r="F18" i="41"/>
  <c r="H18" i="41" s="1"/>
  <c r="K18" i="41" s="1"/>
  <c r="P18" i="41"/>
  <c r="B20" i="41"/>
  <c r="Y20" i="41" s="1"/>
  <c r="K23" i="3"/>
  <c r="F19" i="41"/>
  <c r="K24" i="3" l="1"/>
  <c r="C20" i="41"/>
  <c r="D20" i="41"/>
  <c r="A23" i="3"/>
  <c r="C24" i="3"/>
  <c r="P19" i="41"/>
  <c r="E20" i="41"/>
  <c r="R20" i="41"/>
  <c r="B21" i="41"/>
  <c r="Y21" i="41" s="1"/>
  <c r="H19" i="41"/>
  <c r="K19" i="41" s="1"/>
  <c r="AO17" i="19"/>
  <c r="AO13" i="19" s="1"/>
  <c r="G13" i="19"/>
  <c r="A24" i="3" l="1"/>
  <c r="D21" i="41"/>
  <c r="C21" i="41"/>
  <c r="E21" i="41" s="1"/>
  <c r="K25" i="3"/>
  <c r="C25" i="3"/>
  <c r="A25" i="3" s="1"/>
  <c r="F20" i="41"/>
  <c r="H20" i="41" s="1"/>
  <c r="K20" i="41" s="1"/>
  <c r="B22" i="41"/>
  <c r="Y22" i="41" s="1"/>
  <c r="R21" i="41"/>
  <c r="P20" i="41"/>
  <c r="P21" i="41"/>
  <c r="E18" i="19"/>
  <c r="F18" i="19"/>
  <c r="C22" i="41" l="1"/>
  <c r="D22" i="41"/>
  <c r="C26" i="3"/>
  <c r="A26" i="3" s="1"/>
  <c r="E22" i="41"/>
  <c r="K26" i="3"/>
  <c r="F22" i="41"/>
  <c r="B23" i="41"/>
  <c r="Y23" i="41" s="1"/>
  <c r="F21" i="41"/>
  <c r="H21" i="41" s="1"/>
  <c r="K21" i="41" s="1"/>
  <c r="D23" i="41" l="1"/>
  <c r="F23" i="41" s="1"/>
  <c r="C23" i="41"/>
  <c r="P22" i="41"/>
  <c r="H22" i="41"/>
  <c r="K22" i="41" s="1"/>
  <c r="C27" i="3"/>
  <c r="A27" i="3" s="1"/>
  <c r="K27" i="3"/>
  <c r="R22" i="41"/>
  <c r="E23" i="41"/>
  <c r="B24" i="41"/>
  <c r="Y24" i="41" s="1"/>
  <c r="R23" i="41"/>
  <c r="D24" i="41" l="1"/>
  <c r="R24" i="41" s="1"/>
  <c r="C24" i="41"/>
  <c r="H23" i="41"/>
  <c r="K23" i="41" s="1"/>
  <c r="C28" i="3"/>
  <c r="A28" i="3" s="1"/>
  <c r="P23" i="41"/>
  <c r="K28" i="3"/>
  <c r="E24" i="41"/>
  <c r="B25" i="41"/>
  <c r="Y25" i="41" s="1"/>
  <c r="F24" i="41"/>
  <c r="B26" i="41" l="1"/>
  <c r="Y26" i="41" s="1"/>
  <c r="D25" i="41"/>
  <c r="C25" i="41"/>
  <c r="C29" i="3"/>
  <c r="C30" i="3" s="1"/>
  <c r="H24" i="41"/>
  <c r="K29" i="3"/>
  <c r="F25" i="41"/>
  <c r="E25" i="41"/>
  <c r="P24" i="41"/>
  <c r="C15" i="43"/>
  <c r="C19" i="19" s="1"/>
  <c r="A19" i="19" s="1"/>
  <c r="F15" i="43"/>
  <c r="A16" i="43"/>
  <c r="K30" i="3"/>
  <c r="B27" i="41"/>
  <c r="Y27" i="41" s="1"/>
  <c r="C27" i="41" l="1"/>
  <c r="E27" i="41" s="1"/>
  <c r="D27" i="41"/>
  <c r="F27" i="41" s="1"/>
  <c r="D26" i="41"/>
  <c r="F26" i="41" s="1"/>
  <c r="C26" i="41"/>
  <c r="E26" i="41" s="1"/>
  <c r="E16" i="43"/>
  <c r="D16" i="43"/>
  <c r="A29" i="3"/>
  <c r="A30" i="3" s="1"/>
  <c r="H25" i="41"/>
  <c r="K25" i="41" s="1"/>
  <c r="R25" i="41"/>
  <c r="K24" i="41"/>
  <c r="P25" i="41"/>
  <c r="W15" i="43"/>
  <c r="K19" i="19" s="1"/>
  <c r="G15" i="43"/>
  <c r="I15" i="43" s="1"/>
  <c r="E19" i="19"/>
  <c r="D19" i="19"/>
  <c r="C16" i="43"/>
  <c r="C20" i="19" s="1"/>
  <c r="A20" i="19" s="1"/>
  <c r="S15" i="43"/>
  <c r="T15" i="43" s="1"/>
  <c r="Q15" i="43"/>
  <c r="R15" i="43" s="1"/>
  <c r="F16" i="43"/>
  <c r="A17" i="43"/>
  <c r="M14" i="43"/>
  <c r="K14" i="43" s="1"/>
  <c r="K31" i="3"/>
  <c r="C31" i="3"/>
  <c r="B28" i="41"/>
  <c r="Y28" i="41" s="1"/>
  <c r="H26" i="41" l="1"/>
  <c r="K26" i="41" s="1"/>
  <c r="D28" i="41"/>
  <c r="R28" i="41" s="1"/>
  <c r="C28" i="41"/>
  <c r="E28" i="41" s="1"/>
  <c r="R26" i="41"/>
  <c r="P26" i="41"/>
  <c r="E17" i="43"/>
  <c r="G17" i="43" s="1"/>
  <c r="D17" i="43"/>
  <c r="F17" i="43" s="1"/>
  <c r="A31" i="3"/>
  <c r="G18" i="19"/>
  <c r="I18" i="19"/>
  <c r="G16" i="43"/>
  <c r="I16" i="43" s="1"/>
  <c r="E20" i="19"/>
  <c r="D20" i="19"/>
  <c r="W16" i="43"/>
  <c r="K20" i="19" s="1"/>
  <c r="C17" i="43"/>
  <c r="C21" i="19" s="1"/>
  <c r="A21" i="19" s="1"/>
  <c r="S16" i="43"/>
  <c r="T16" i="43" s="1"/>
  <c r="Q16" i="43"/>
  <c r="R16" i="43" s="1"/>
  <c r="J15" i="43"/>
  <c r="M15" i="43" s="1"/>
  <c r="L15" i="43"/>
  <c r="A18" i="43"/>
  <c r="R27" i="41"/>
  <c r="P27" i="41"/>
  <c r="H27" i="41"/>
  <c r="K27" i="41" s="1"/>
  <c r="C32" i="3"/>
  <c r="K32" i="3"/>
  <c r="B29" i="41"/>
  <c r="Y29" i="41" s="1"/>
  <c r="D29" i="41" l="1"/>
  <c r="F29" i="41" s="1"/>
  <c r="C29" i="41"/>
  <c r="E29" i="41" s="1"/>
  <c r="E18" i="43"/>
  <c r="G18" i="43" s="1"/>
  <c r="D18" i="43"/>
  <c r="F18" i="43" s="1"/>
  <c r="M18" i="19"/>
  <c r="A32" i="3"/>
  <c r="K15" i="43"/>
  <c r="W17" i="43"/>
  <c r="K21" i="19" s="1"/>
  <c r="E21" i="19"/>
  <c r="D21" i="19"/>
  <c r="H15" i="43"/>
  <c r="C18" i="43"/>
  <c r="C22" i="19" s="1"/>
  <c r="A22" i="19" s="1"/>
  <c r="J16" i="43"/>
  <c r="M16" i="43" s="1"/>
  <c r="S17" i="43"/>
  <c r="T17" i="43" s="1"/>
  <c r="Q17" i="43"/>
  <c r="R17" i="43" s="1"/>
  <c r="I17" i="43"/>
  <c r="L17" i="43" s="1"/>
  <c r="L16" i="43"/>
  <c r="A19" i="43"/>
  <c r="B30" i="41"/>
  <c r="Y30" i="41" s="1"/>
  <c r="F28" i="41"/>
  <c r="H28" i="41" s="1"/>
  <c r="P28" i="41"/>
  <c r="K33" i="3"/>
  <c r="C33" i="3"/>
  <c r="C30" i="41" l="1"/>
  <c r="D30" i="41"/>
  <c r="R30" i="41" s="1"/>
  <c r="E19" i="43"/>
  <c r="G19" i="43" s="1"/>
  <c r="D19" i="43"/>
  <c r="F19" i="43" s="1"/>
  <c r="A33" i="3"/>
  <c r="G19" i="19"/>
  <c r="I19" i="19"/>
  <c r="F19" i="19"/>
  <c r="K16" i="43"/>
  <c r="W18" i="43"/>
  <c r="K22" i="19" s="1"/>
  <c r="E22" i="19"/>
  <c r="D22" i="19"/>
  <c r="H16" i="43"/>
  <c r="F20" i="19" s="1"/>
  <c r="J17" i="43"/>
  <c r="M17" i="43" s="1"/>
  <c r="K17" i="43" s="1"/>
  <c r="C19" i="43"/>
  <c r="C23" i="19" s="1"/>
  <c r="A23" i="19" s="1"/>
  <c r="Q18" i="43"/>
  <c r="R18" i="43" s="1"/>
  <c r="S18" i="43"/>
  <c r="T18" i="43" s="1"/>
  <c r="B31" i="41"/>
  <c r="Y31" i="41" s="1"/>
  <c r="C34" i="3"/>
  <c r="K34" i="3"/>
  <c r="I18" i="43"/>
  <c r="A20" i="43"/>
  <c r="R29" i="41"/>
  <c r="E30" i="41"/>
  <c r="K28" i="41"/>
  <c r="P29" i="41"/>
  <c r="H29" i="41"/>
  <c r="K35" i="3" l="1"/>
  <c r="D31" i="41"/>
  <c r="C31" i="41"/>
  <c r="E31" i="41" s="1"/>
  <c r="E20" i="43"/>
  <c r="D20" i="43"/>
  <c r="F20" i="43" s="1"/>
  <c r="F30" i="41"/>
  <c r="H30" i="41" s="1"/>
  <c r="K30" i="41" s="1"/>
  <c r="M19" i="19"/>
  <c r="A34" i="3"/>
  <c r="G21" i="19"/>
  <c r="C35" i="3"/>
  <c r="R31" i="41"/>
  <c r="B32" i="41"/>
  <c r="Y32" i="41" s="1"/>
  <c r="I21" i="19"/>
  <c r="M21" i="19" s="1"/>
  <c r="G20" i="19"/>
  <c r="I20" i="19"/>
  <c r="M20" i="19" s="1"/>
  <c r="H17" i="43"/>
  <c r="F21" i="19" s="1"/>
  <c r="E23" i="19"/>
  <c r="D23" i="19"/>
  <c r="W19" i="43"/>
  <c r="K23" i="19" s="1"/>
  <c r="C20" i="43"/>
  <c r="C24" i="19" s="1"/>
  <c r="A24" i="19" s="1"/>
  <c r="I19" i="43"/>
  <c r="L19" i="43" s="1"/>
  <c r="Q19" i="43"/>
  <c r="R19" i="43" s="1"/>
  <c r="S19" i="43"/>
  <c r="T19" i="43" s="1"/>
  <c r="J18" i="43"/>
  <c r="M18" i="43" s="1"/>
  <c r="G20" i="43"/>
  <c r="L18" i="43"/>
  <c r="A21" i="43"/>
  <c r="P30" i="41"/>
  <c r="K29" i="41"/>
  <c r="C32" i="41" l="1"/>
  <c r="E32" i="41" s="1"/>
  <c r="D32" i="41"/>
  <c r="R32" i="41" s="1"/>
  <c r="E21" i="43"/>
  <c r="G21" i="43" s="1"/>
  <c r="D21" i="43"/>
  <c r="F21" i="43" s="1"/>
  <c r="A35" i="3"/>
  <c r="C36" i="3"/>
  <c r="B33" i="41"/>
  <c r="Y33" i="41" s="1"/>
  <c r="K36" i="3"/>
  <c r="F31" i="41"/>
  <c r="H31" i="41" s="1"/>
  <c r="K31" i="41" s="1"/>
  <c r="P31" i="41"/>
  <c r="W20" i="43"/>
  <c r="K24" i="19" s="1"/>
  <c r="E24" i="19"/>
  <c r="J19" i="43"/>
  <c r="M19" i="43" s="1"/>
  <c r="K19" i="43" s="1"/>
  <c r="D24" i="19"/>
  <c r="H18" i="43"/>
  <c r="F22" i="19" s="1"/>
  <c r="K18" i="43"/>
  <c r="G22" i="19" s="1"/>
  <c r="C21" i="43"/>
  <c r="W21" i="43" s="1"/>
  <c r="K25" i="19" s="1"/>
  <c r="Q20" i="43"/>
  <c r="R20" i="43" s="1"/>
  <c r="S20" i="43"/>
  <c r="T20" i="43" s="1"/>
  <c r="I20" i="43"/>
  <c r="A22" i="43"/>
  <c r="F32" i="41" l="1"/>
  <c r="H32" i="41" s="1"/>
  <c r="K37" i="3"/>
  <c r="C33" i="41"/>
  <c r="E33" i="41" s="1"/>
  <c r="D33" i="41"/>
  <c r="R33" i="41" s="1"/>
  <c r="S33" i="41" s="1"/>
  <c r="E22" i="43"/>
  <c r="G22" i="43" s="1"/>
  <c r="D22" i="43"/>
  <c r="F22" i="43" s="1"/>
  <c r="A36" i="3"/>
  <c r="B34" i="41"/>
  <c r="Y34" i="41" s="1"/>
  <c r="C37" i="3"/>
  <c r="P32" i="41"/>
  <c r="Q32" i="41" s="1"/>
  <c r="H19" i="43"/>
  <c r="F23" i="19" s="1"/>
  <c r="G23" i="19"/>
  <c r="I23" i="19"/>
  <c r="M23" i="19" s="1"/>
  <c r="I22" i="19"/>
  <c r="E25" i="19"/>
  <c r="C25" i="19"/>
  <c r="J20" i="43"/>
  <c r="M20" i="43" s="1"/>
  <c r="C22" i="43"/>
  <c r="W22" i="43" s="1"/>
  <c r="K26" i="19" s="1"/>
  <c r="S21" i="43"/>
  <c r="T21" i="43" s="1"/>
  <c r="Q21" i="43"/>
  <c r="R21" i="43" s="1"/>
  <c r="I21" i="43"/>
  <c r="L20" i="43"/>
  <c r="A23" i="43"/>
  <c r="Q15" i="41"/>
  <c r="Q16" i="41"/>
  <c r="Q17" i="41"/>
  <c r="Q18" i="41"/>
  <c r="Q19" i="41"/>
  <c r="Q20" i="41"/>
  <c r="Q21" i="41"/>
  <c r="Q23" i="41"/>
  <c r="Q22" i="41"/>
  <c r="Q24" i="41"/>
  <c r="Q26" i="41"/>
  <c r="Q25" i="41"/>
  <c r="Q27" i="41"/>
  <c r="Q28" i="41"/>
  <c r="Q29" i="41"/>
  <c r="Q30" i="41"/>
  <c r="Q31" i="41"/>
  <c r="S15" i="41"/>
  <c r="S16" i="41"/>
  <c r="S18" i="41"/>
  <c r="S17" i="41"/>
  <c r="S19" i="41"/>
  <c r="S20" i="41"/>
  <c r="S21" i="41"/>
  <c r="S22" i="41"/>
  <c r="S23" i="41"/>
  <c r="S24" i="41"/>
  <c r="S25" i="41"/>
  <c r="S26" i="41"/>
  <c r="S28" i="41"/>
  <c r="S27" i="41"/>
  <c r="S30" i="41"/>
  <c r="S29" i="41"/>
  <c r="S31" i="41"/>
  <c r="S32" i="41"/>
  <c r="C34" i="41" l="1"/>
  <c r="D34" i="41"/>
  <c r="R34" i="41" s="1"/>
  <c r="S34" i="41" s="1"/>
  <c r="E23" i="43"/>
  <c r="D23" i="43"/>
  <c r="M22" i="19"/>
  <c r="D25" i="19"/>
  <c r="A25" i="19"/>
  <c r="A37" i="3"/>
  <c r="K38" i="3"/>
  <c r="E34" i="41"/>
  <c r="B35" i="41"/>
  <c r="Y35" i="41" s="1"/>
  <c r="C38" i="3"/>
  <c r="K32" i="41"/>
  <c r="P33" i="41"/>
  <c r="Q33" i="41" s="1"/>
  <c r="I33" i="41" s="1"/>
  <c r="F33" i="41"/>
  <c r="H33" i="41" s="1"/>
  <c r="K33" i="41" s="1"/>
  <c r="K20" i="43"/>
  <c r="G24" i="19" s="1"/>
  <c r="H20" i="43"/>
  <c r="F24" i="19" s="1"/>
  <c r="E26" i="19"/>
  <c r="C26" i="19"/>
  <c r="C23" i="43"/>
  <c r="W23" i="43" s="1"/>
  <c r="K27" i="19" s="1"/>
  <c r="J21" i="43"/>
  <c r="M21" i="43" s="1"/>
  <c r="S22" i="43"/>
  <c r="T22" i="43" s="1"/>
  <c r="Q22" i="43"/>
  <c r="R22" i="43" s="1"/>
  <c r="I22" i="43"/>
  <c r="G23" i="43"/>
  <c r="F23" i="43"/>
  <c r="L21" i="43"/>
  <c r="A24" i="43"/>
  <c r="I26" i="41"/>
  <c r="I23" i="41"/>
  <c r="I15" i="41"/>
  <c r="I21" i="41"/>
  <c r="I28" i="41"/>
  <c r="I20" i="41"/>
  <c r="I19" i="41"/>
  <c r="I29" i="41"/>
  <c r="I27" i="41"/>
  <c r="I25" i="41"/>
  <c r="I18" i="41"/>
  <c r="I17" i="41"/>
  <c r="I32" i="41"/>
  <c r="L32" i="41" s="1"/>
  <c r="I24" i="41"/>
  <c r="I16" i="41"/>
  <c r="I31" i="41"/>
  <c r="I22" i="41"/>
  <c r="G18" i="3"/>
  <c r="I30" i="41"/>
  <c r="F34" i="41" l="1"/>
  <c r="C35" i="41"/>
  <c r="E35" i="41" s="1"/>
  <c r="D35" i="41"/>
  <c r="R35" i="41" s="1"/>
  <c r="S35" i="41" s="1"/>
  <c r="D24" i="43"/>
  <c r="F24" i="43" s="1"/>
  <c r="E24" i="43"/>
  <c r="G24" i="43" s="1"/>
  <c r="A38" i="3"/>
  <c r="A26" i="19"/>
  <c r="B36" i="41"/>
  <c r="Y36" i="41" s="1"/>
  <c r="J32" i="41"/>
  <c r="K39" i="3"/>
  <c r="L22" i="41"/>
  <c r="J22" i="41" s="1"/>
  <c r="G22" i="41"/>
  <c r="L31" i="41"/>
  <c r="J31" i="41" s="1"/>
  <c r="G31" i="41"/>
  <c r="L29" i="41"/>
  <c r="J29" i="41" s="1"/>
  <c r="G29" i="41"/>
  <c r="L27" i="41"/>
  <c r="J27" i="41" s="1"/>
  <c r="G27" i="41"/>
  <c r="L26" i="41"/>
  <c r="J26" i="41" s="1"/>
  <c r="G26" i="41"/>
  <c r="L19" i="41"/>
  <c r="J19" i="41" s="1"/>
  <c r="G19" i="41"/>
  <c r="L24" i="41"/>
  <c r="J24" i="41" s="1"/>
  <c r="G24" i="41"/>
  <c r="L20" i="41"/>
  <c r="J20" i="41" s="1"/>
  <c r="G20" i="41"/>
  <c r="L28" i="41"/>
  <c r="J28" i="41" s="1"/>
  <c r="G28" i="41"/>
  <c r="L17" i="41"/>
  <c r="J17" i="41" s="1"/>
  <c r="G17" i="41"/>
  <c r="L30" i="41"/>
  <c r="J30" i="41" s="1"/>
  <c r="G30" i="41"/>
  <c r="L18" i="41"/>
  <c r="J18" i="41" s="1"/>
  <c r="G18" i="41"/>
  <c r="L15" i="41"/>
  <c r="J15" i="41" s="1"/>
  <c r="G15" i="41"/>
  <c r="L16" i="41"/>
  <c r="J16" i="41" s="1"/>
  <c r="G16" i="41"/>
  <c r="L21" i="41"/>
  <c r="J21" i="41" s="1"/>
  <c r="G21" i="41"/>
  <c r="L25" i="41"/>
  <c r="J25" i="41" s="1"/>
  <c r="G25" i="41"/>
  <c r="L23" i="41"/>
  <c r="J23" i="41" s="1"/>
  <c r="G23" i="41"/>
  <c r="G32" i="41"/>
  <c r="C39" i="3"/>
  <c r="H34" i="41"/>
  <c r="P34" i="41"/>
  <c r="Q34" i="41" s="1"/>
  <c r="I34" i="41" s="1"/>
  <c r="L34" i="41" s="1"/>
  <c r="L33" i="41"/>
  <c r="J33" i="41" s="1"/>
  <c r="G33" i="41"/>
  <c r="I24" i="19"/>
  <c r="H21" i="43"/>
  <c r="E27" i="19"/>
  <c r="C27" i="19"/>
  <c r="D27" i="19" s="1"/>
  <c r="D26" i="19"/>
  <c r="K21" i="43"/>
  <c r="C24" i="43"/>
  <c r="L22" i="43"/>
  <c r="S23" i="43"/>
  <c r="T23" i="43" s="1"/>
  <c r="Q23" i="43"/>
  <c r="R23" i="43" s="1"/>
  <c r="J22" i="43"/>
  <c r="M22" i="43" s="1"/>
  <c r="I23" i="43"/>
  <c r="A25" i="43"/>
  <c r="P35" i="41"/>
  <c r="Q35" i="41" s="1"/>
  <c r="K40" i="3" l="1"/>
  <c r="C36" i="41"/>
  <c r="D36" i="41"/>
  <c r="R36" i="41" s="1"/>
  <c r="S36" i="41" s="1"/>
  <c r="D25" i="43"/>
  <c r="E25" i="43"/>
  <c r="G25" i="43" s="1"/>
  <c r="B37" i="41"/>
  <c r="Y37" i="41" s="1"/>
  <c r="M24" i="19"/>
  <c r="A27" i="19"/>
  <c r="F35" i="41"/>
  <c r="H35" i="41" s="1"/>
  <c r="K35" i="41" s="1"/>
  <c r="C40" i="3"/>
  <c r="E36" i="41"/>
  <c r="A39" i="3"/>
  <c r="G34" i="41"/>
  <c r="K34" i="41"/>
  <c r="J34" i="41" s="1"/>
  <c r="G25" i="19"/>
  <c r="I25" i="19"/>
  <c r="M25" i="19" s="1"/>
  <c r="F25" i="19"/>
  <c r="C28" i="19"/>
  <c r="D28" i="19" s="1"/>
  <c r="W24" i="43"/>
  <c r="K28" i="19" s="1"/>
  <c r="E28" i="19"/>
  <c r="K22" i="43"/>
  <c r="G26" i="19" s="1"/>
  <c r="H22" i="43"/>
  <c r="F26" i="19" s="1"/>
  <c r="C25" i="43"/>
  <c r="S24" i="43"/>
  <c r="T24" i="43" s="1"/>
  <c r="Q24" i="43"/>
  <c r="R24" i="43" s="1"/>
  <c r="I24" i="43"/>
  <c r="F25" i="43"/>
  <c r="L23" i="43"/>
  <c r="J23" i="43"/>
  <c r="M23" i="43" s="1"/>
  <c r="A26" i="43"/>
  <c r="I35" i="41"/>
  <c r="AP10" i="19"/>
  <c r="C37" i="41" l="1"/>
  <c r="E37" i="41" s="1"/>
  <c r="D37" i="41"/>
  <c r="R37" i="41" s="1"/>
  <c r="S37" i="41" s="1"/>
  <c r="D26" i="43"/>
  <c r="F26" i="43" s="1"/>
  <c r="E26" i="43"/>
  <c r="G26" i="43" s="1"/>
  <c r="K41" i="3"/>
  <c r="B38" i="41"/>
  <c r="Y38" i="41" s="1"/>
  <c r="C41" i="3"/>
  <c r="L35" i="41"/>
  <c r="J35" i="41" s="1"/>
  <c r="A28" i="19"/>
  <c r="F36" i="41"/>
  <c r="H36" i="41" s="1"/>
  <c r="K36" i="41" s="1"/>
  <c r="P36" i="41"/>
  <c r="Q36" i="41" s="1"/>
  <c r="I36" i="41" s="1"/>
  <c r="A40" i="3"/>
  <c r="G35" i="41"/>
  <c r="C29" i="19"/>
  <c r="D29" i="19" s="1"/>
  <c r="I26" i="19"/>
  <c r="W25" i="43"/>
  <c r="K29" i="19" s="1"/>
  <c r="E29" i="19"/>
  <c r="K23" i="43"/>
  <c r="G27" i="19" s="1"/>
  <c r="H23" i="43"/>
  <c r="F27" i="19" s="1"/>
  <c r="C26" i="43"/>
  <c r="W26" i="43" s="1"/>
  <c r="K30" i="19" s="1"/>
  <c r="L24" i="43"/>
  <c r="J24" i="43"/>
  <c r="M24" i="43" s="1"/>
  <c r="S25" i="43"/>
  <c r="T25" i="43" s="1"/>
  <c r="Q25" i="43"/>
  <c r="R25" i="43" s="1"/>
  <c r="I25" i="43"/>
  <c r="L25" i="43" s="1"/>
  <c r="A27" i="43"/>
  <c r="P37" i="41"/>
  <c r="Q37" i="41" s="1"/>
  <c r="M26" i="19" l="1"/>
  <c r="C38" i="41"/>
  <c r="E38" i="41" s="1"/>
  <c r="D38" i="41"/>
  <c r="R38" i="41" s="1"/>
  <c r="S38" i="41" s="1"/>
  <c r="D27" i="43"/>
  <c r="F27" i="43" s="1"/>
  <c r="E27" i="43"/>
  <c r="G27" i="43" s="1"/>
  <c r="K42" i="3"/>
  <c r="B39" i="41"/>
  <c r="Y39" i="41" s="1"/>
  <c r="C42" i="3"/>
  <c r="A41" i="3"/>
  <c r="F37" i="41"/>
  <c r="H37" i="41" s="1"/>
  <c r="K37" i="41" s="1"/>
  <c r="L36" i="41"/>
  <c r="J36" i="41" s="1"/>
  <c r="A29" i="19"/>
  <c r="G36" i="41"/>
  <c r="I37" i="41"/>
  <c r="I27" i="19"/>
  <c r="M27" i="19" s="1"/>
  <c r="E30" i="19"/>
  <c r="C30" i="19"/>
  <c r="D30" i="19" s="1"/>
  <c r="K24" i="43"/>
  <c r="G28" i="19" s="1"/>
  <c r="H24" i="43"/>
  <c r="F28" i="19" s="1"/>
  <c r="C27" i="43"/>
  <c r="W27" i="43" s="1"/>
  <c r="K31" i="19" s="1"/>
  <c r="Q26" i="43"/>
  <c r="R26" i="43" s="1"/>
  <c r="S26" i="43"/>
  <c r="T26" i="43" s="1"/>
  <c r="I26" i="43"/>
  <c r="J25" i="43"/>
  <c r="M25" i="43" s="1"/>
  <c r="K25" i="43" s="1"/>
  <c r="G29" i="19" s="1"/>
  <c r="A28" i="43"/>
  <c r="F19" i="3"/>
  <c r="G19" i="3"/>
  <c r="D18" i="3"/>
  <c r="E19" i="3"/>
  <c r="F38" i="41" l="1"/>
  <c r="B40" i="41"/>
  <c r="C39" i="41"/>
  <c r="E39" i="41" s="1"/>
  <c r="D39" i="41"/>
  <c r="F39" i="41" s="1"/>
  <c r="D28" i="43"/>
  <c r="F28" i="43" s="1"/>
  <c r="E28" i="43"/>
  <c r="G28" i="43" s="1"/>
  <c r="C43" i="3"/>
  <c r="K43" i="3"/>
  <c r="H38" i="41"/>
  <c r="K38" i="41" s="1"/>
  <c r="P38" i="41"/>
  <c r="Q38" i="41" s="1"/>
  <c r="I38" i="41" s="1"/>
  <c r="L38" i="41" s="1"/>
  <c r="A42" i="3"/>
  <c r="L37" i="41"/>
  <c r="J37" i="41" s="1"/>
  <c r="A30" i="19"/>
  <c r="G37" i="41"/>
  <c r="I28" i="19"/>
  <c r="M28" i="19" s="1"/>
  <c r="I29" i="19"/>
  <c r="M29" i="19" s="1"/>
  <c r="E31" i="19"/>
  <c r="C31" i="19"/>
  <c r="D31" i="19" s="1"/>
  <c r="H25" i="43"/>
  <c r="F29" i="19" s="1"/>
  <c r="C28" i="43"/>
  <c r="W28" i="43" s="1"/>
  <c r="K32" i="19" s="1"/>
  <c r="J26" i="43"/>
  <c r="M26" i="43" s="1"/>
  <c r="Q27" i="43"/>
  <c r="R27" i="43" s="1"/>
  <c r="S27" i="43"/>
  <c r="T27" i="43" s="1"/>
  <c r="I27" i="43"/>
  <c r="L26" i="43"/>
  <c r="A29" i="43"/>
  <c r="T11" i="19"/>
  <c r="U11" i="19" s="1"/>
  <c r="AP4" i="19"/>
  <c r="AV9" i="19"/>
  <c r="AP9" i="19" s="1"/>
  <c r="AO10" i="3"/>
  <c r="AN13" i="3" s="1"/>
  <c r="H13" i="3" s="1"/>
  <c r="T11" i="3"/>
  <c r="U11" i="3" s="1"/>
  <c r="G13" i="3"/>
  <c r="B41" i="41" l="1"/>
  <c r="Y41" i="41" s="1"/>
  <c r="Y40" i="41"/>
  <c r="K44" i="3"/>
  <c r="C44" i="3"/>
  <c r="D41" i="41"/>
  <c r="C41" i="41"/>
  <c r="E41" i="41" s="1"/>
  <c r="D40" i="41"/>
  <c r="R40" i="41" s="1"/>
  <c r="S40" i="41" s="1"/>
  <c r="C40" i="41"/>
  <c r="E40" i="41" s="1"/>
  <c r="D29" i="43"/>
  <c r="F29" i="43" s="1"/>
  <c r="E29" i="43"/>
  <c r="R39" i="41"/>
  <c r="S39" i="41" s="1"/>
  <c r="P39" i="41"/>
  <c r="Q39" i="41" s="1"/>
  <c r="H39" i="41"/>
  <c r="K39" i="41" s="1"/>
  <c r="A43" i="3"/>
  <c r="A44" i="3" s="1"/>
  <c r="A31" i="19"/>
  <c r="J38" i="41"/>
  <c r="G38" i="41"/>
  <c r="C13" i="3"/>
  <c r="E32" i="19"/>
  <c r="C32" i="19"/>
  <c r="D32" i="19" s="1"/>
  <c r="K26" i="43"/>
  <c r="G30" i="19" s="1"/>
  <c r="H26" i="43"/>
  <c r="F30" i="19" s="1"/>
  <c r="C29" i="43"/>
  <c r="W29" i="43" s="1"/>
  <c r="K33" i="19" s="1"/>
  <c r="Q28" i="43"/>
  <c r="R28" i="43" s="1"/>
  <c r="S28" i="43"/>
  <c r="T28" i="43" s="1"/>
  <c r="I28" i="43"/>
  <c r="J27" i="43"/>
  <c r="M27" i="43" s="1"/>
  <c r="L27" i="43"/>
  <c r="A30" i="43"/>
  <c r="C45" i="3"/>
  <c r="B42" i="41"/>
  <c r="Y42" i="41" s="1"/>
  <c r="K45" i="3"/>
  <c r="P40" i="41" l="1"/>
  <c r="Q40" i="41" s="1"/>
  <c r="F40" i="41"/>
  <c r="H40" i="41" s="1"/>
  <c r="K40" i="41" s="1"/>
  <c r="I39" i="41"/>
  <c r="L39" i="41" s="1"/>
  <c r="C42" i="41"/>
  <c r="E42" i="41" s="1"/>
  <c r="D42" i="41"/>
  <c r="R42" i="41" s="1"/>
  <c r="D30" i="43"/>
  <c r="F30" i="43" s="1"/>
  <c r="E30" i="43"/>
  <c r="G30" i="43" s="1"/>
  <c r="J39" i="41"/>
  <c r="A32" i="19"/>
  <c r="G39" i="41"/>
  <c r="A45" i="3"/>
  <c r="H11" i="3"/>
  <c r="I30" i="19"/>
  <c r="M30" i="19" s="1"/>
  <c r="G29" i="43"/>
  <c r="E33" i="19"/>
  <c r="C33" i="19"/>
  <c r="D33" i="19" s="1"/>
  <c r="K27" i="43"/>
  <c r="H27" i="43"/>
  <c r="F31" i="19" s="1"/>
  <c r="C30" i="43"/>
  <c r="W30" i="43" s="1"/>
  <c r="K34" i="19" s="1"/>
  <c r="S29" i="43"/>
  <c r="T29" i="43" s="1"/>
  <c r="Q29" i="43"/>
  <c r="R29" i="43" s="1"/>
  <c r="I40" i="41"/>
  <c r="J28" i="43"/>
  <c r="M28" i="43" s="1"/>
  <c r="L28" i="43"/>
  <c r="A31" i="43"/>
  <c r="R41" i="41"/>
  <c r="S41" i="41" s="1"/>
  <c r="P41" i="41"/>
  <c r="Q41" i="41" s="1"/>
  <c r="C46" i="3"/>
  <c r="F41" i="41"/>
  <c r="H41" i="41" s="1"/>
  <c r="B43" i="41"/>
  <c r="Y43" i="41" s="1"/>
  <c r="K46" i="3"/>
  <c r="I13" i="19"/>
  <c r="C13" i="19" s="1"/>
  <c r="L40" i="41" l="1"/>
  <c r="C43" i="41"/>
  <c r="P43" i="41" s="1"/>
  <c r="D43" i="41"/>
  <c r="R43" i="41" s="1"/>
  <c r="D31" i="43"/>
  <c r="F31" i="43" s="1"/>
  <c r="E31" i="43"/>
  <c r="G31" i="43" s="1"/>
  <c r="A33" i="19"/>
  <c r="J40" i="41"/>
  <c r="G40" i="41"/>
  <c r="A46" i="3"/>
  <c r="G31" i="19"/>
  <c r="I31" i="19"/>
  <c r="M31" i="19" s="1"/>
  <c r="I29" i="43"/>
  <c r="L29" i="43" s="1"/>
  <c r="E34" i="19"/>
  <c r="C34" i="19"/>
  <c r="D34" i="19" s="1"/>
  <c r="K28" i="43"/>
  <c r="G32" i="19" s="1"/>
  <c r="H28" i="43"/>
  <c r="F32" i="19" s="1"/>
  <c r="C31" i="43"/>
  <c r="W31" i="43" s="1"/>
  <c r="K35" i="19" s="1"/>
  <c r="S30" i="43"/>
  <c r="T30" i="43" s="1"/>
  <c r="Q30" i="43"/>
  <c r="R30" i="43" s="1"/>
  <c r="I30" i="43"/>
  <c r="J29" i="43"/>
  <c r="M29" i="43" s="1"/>
  <c r="A32" i="43"/>
  <c r="I41" i="41"/>
  <c r="L41" i="41" s="1"/>
  <c r="F42" i="41"/>
  <c r="H42" i="41" s="1"/>
  <c r="P42" i="41"/>
  <c r="Q42" i="41" s="1"/>
  <c r="C47" i="3"/>
  <c r="S42" i="41"/>
  <c r="K41" i="41"/>
  <c r="B44" i="41"/>
  <c r="Y44" i="41" s="1"/>
  <c r="K47" i="3"/>
  <c r="H11" i="19"/>
  <c r="C44" i="41" l="1"/>
  <c r="D44" i="41"/>
  <c r="D32" i="43"/>
  <c r="E32" i="43"/>
  <c r="A34" i="19"/>
  <c r="A47" i="3"/>
  <c r="J41" i="41"/>
  <c r="G41" i="41"/>
  <c r="I32" i="19"/>
  <c r="M32" i="19" s="1"/>
  <c r="E35" i="19"/>
  <c r="C35" i="19"/>
  <c r="D35" i="19" s="1"/>
  <c r="K29" i="43"/>
  <c r="G33" i="19" s="1"/>
  <c r="H29" i="43"/>
  <c r="F33" i="19" s="1"/>
  <c r="C32" i="43"/>
  <c r="W32" i="43" s="1"/>
  <c r="K36" i="19" s="1"/>
  <c r="J30" i="43"/>
  <c r="M30" i="43" s="1"/>
  <c r="S31" i="43"/>
  <c r="T31" i="43" s="1"/>
  <c r="Q31" i="43"/>
  <c r="R31" i="43" s="1"/>
  <c r="L30" i="43"/>
  <c r="G32" i="43"/>
  <c r="F32" i="43"/>
  <c r="I31" i="43"/>
  <c r="A33" i="43"/>
  <c r="P44" i="41"/>
  <c r="E43" i="41"/>
  <c r="F43" i="41"/>
  <c r="C48" i="3"/>
  <c r="I42" i="41"/>
  <c r="L42" i="41" s="1"/>
  <c r="Q43" i="41"/>
  <c r="S43" i="41"/>
  <c r="K42" i="41"/>
  <c r="B45" i="41"/>
  <c r="Y45" i="41" s="1"/>
  <c r="K48" i="3"/>
  <c r="I19" i="3"/>
  <c r="D45" i="41" l="1"/>
  <c r="C45" i="41"/>
  <c r="E45" i="41" s="1"/>
  <c r="D33" i="43"/>
  <c r="E33" i="43"/>
  <c r="M19" i="3"/>
  <c r="O18" i="3" s="1"/>
  <c r="A35" i="19"/>
  <c r="A48" i="3"/>
  <c r="G42" i="41"/>
  <c r="J42" i="41"/>
  <c r="I33" i="19"/>
  <c r="M33" i="19" s="1"/>
  <c r="K30" i="43"/>
  <c r="G34" i="19" s="1"/>
  <c r="E36" i="19"/>
  <c r="C36" i="19"/>
  <c r="D36" i="19" s="1"/>
  <c r="H30" i="43"/>
  <c r="F34" i="19" s="1"/>
  <c r="C33" i="43"/>
  <c r="W33" i="43" s="1"/>
  <c r="K37" i="19" s="1"/>
  <c r="S32" i="43"/>
  <c r="T32" i="43" s="1"/>
  <c r="Q32" i="43"/>
  <c r="R32" i="43" s="1"/>
  <c r="I32" i="43"/>
  <c r="G33" i="43"/>
  <c r="F33" i="43"/>
  <c r="L31" i="43"/>
  <c r="J31" i="43"/>
  <c r="M31" i="43" s="1"/>
  <c r="A34" i="43"/>
  <c r="R44" i="41"/>
  <c r="S44" i="41" s="1"/>
  <c r="H43" i="41"/>
  <c r="E44" i="41"/>
  <c r="C49" i="3"/>
  <c r="F20" i="3"/>
  <c r="G20" i="3"/>
  <c r="D19" i="3"/>
  <c r="E20" i="3"/>
  <c r="I43" i="41"/>
  <c r="L43" i="41" s="1"/>
  <c r="Q44" i="41"/>
  <c r="F44" i="41"/>
  <c r="B46" i="41"/>
  <c r="Y46" i="41" s="1"/>
  <c r="K49" i="3"/>
  <c r="I20" i="3"/>
  <c r="M20" i="3" s="1"/>
  <c r="S12" i="19"/>
  <c r="D46" i="41" l="1"/>
  <c r="C46" i="41"/>
  <c r="E46" i="41" s="1"/>
  <c r="E34" i="43"/>
  <c r="G34" i="43" s="1"/>
  <c r="D34" i="43"/>
  <c r="F34" i="43" s="1"/>
  <c r="Q18" i="19"/>
  <c r="Q19" i="19" s="1"/>
  <c r="R19" i="19" s="1"/>
  <c r="A36" i="19"/>
  <c r="A49" i="3"/>
  <c r="H44" i="41"/>
  <c r="K44" i="41" s="1"/>
  <c r="G43" i="41"/>
  <c r="I34" i="19"/>
  <c r="M34" i="19" s="1"/>
  <c r="K31" i="43"/>
  <c r="G35" i="19" s="1"/>
  <c r="E37" i="19"/>
  <c r="C37" i="19"/>
  <c r="D37" i="19" s="1"/>
  <c r="H31" i="43"/>
  <c r="F35" i="19" s="1"/>
  <c r="J32" i="43"/>
  <c r="M32" i="43" s="1"/>
  <c r="C34" i="43"/>
  <c r="W34" i="43" s="1"/>
  <c r="K38" i="19" s="1"/>
  <c r="S33" i="43"/>
  <c r="T33" i="43" s="1"/>
  <c r="Q33" i="43"/>
  <c r="R33" i="43" s="1"/>
  <c r="L32" i="43"/>
  <c r="I33" i="43"/>
  <c r="A35" i="43"/>
  <c r="K43" i="41"/>
  <c r="J43" i="41" s="1"/>
  <c r="I44" i="41"/>
  <c r="L44" i="41" s="1"/>
  <c r="R45" i="41"/>
  <c r="S45" i="41" s="1"/>
  <c r="P45" i="41"/>
  <c r="Q45" i="41" s="1"/>
  <c r="C50" i="3"/>
  <c r="F21" i="3"/>
  <c r="G21" i="3"/>
  <c r="D20" i="3"/>
  <c r="E21" i="3"/>
  <c r="F45" i="41"/>
  <c r="H45" i="41" s="1"/>
  <c r="B47" i="41"/>
  <c r="Y47" i="41" s="1"/>
  <c r="K50" i="3"/>
  <c r="I21" i="3"/>
  <c r="Y18" i="19"/>
  <c r="U18" i="3"/>
  <c r="Q20" i="3"/>
  <c r="R20" i="3" s="1"/>
  <c r="R19" i="3"/>
  <c r="D47" i="41" l="1"/>
  <c r="C47" i="41"/>
  <c r="E47" i="41" s="1"/>
  <c r="E35" i="43"/>
  <c r="G35" i="43" s="1"/>
  <c r="D35" i="43"/>
  <c r="F35" i="43" s="1"/>
  <c r="M21" i="3"/>
  <c r="R18" i="19"/>
  <c r="U18" i="19" s="1"/>
  <c r="Q20" i="19"/>
  <c r="R20" i="19" s="1"/>
  <c r="A37" i="19"/>
  <c r="A50" i="3"/>
  <c r="G44" i="41"/>
  <c r="J44" i="41"/>
  <c r="I35" i="19"/>
  <c r="M35" i="19" s="1"/>
  <c r="K32" i="43"/>
  <c r="G36" i="19" s="1"/>
  <c r="E38" i="19"/>
  <c r="C38" i="19"/>
  <c r="D38" i="19" s="1"/>
  <c r="H32" i="43"/>
  <c r="F36" i="19" s="1"/>
  <c r="C35" i="43"/>
  <c r="W35" i="43" s="1"/>
  <c r="K39" i="19" s="1"/>
  <c r="J33" i="43"/>
  <c r="M33" i="43" s="1"/>
  <c r="Q34" i="43"/>
  <c r="R34" i="43" s="1"/>
  <c r="S34" i="43"/>
  <c r="T34" i="43" s="1"/>
  <c r="I34" i="43"/>
  <c r="L33" i="43"/>
  <c r="A36" i="43"/>
  <c r="I45" i="41"/>
  <c r="L45" i="41" s="1"/>
  <c r="R46" i="41"/>
  <c r="S46" i="41" s="1"/>
  <c r="P46" i="41"/>
  <c r="Q46" i="41" s="1"/>
  <c r="C51" i="3"/>
  <c r="F22" i="3"/>
  <c r="G22" i="3"/>
  <c r="D21" i="3"/>
  <c r="E22" i="3"/>
  <c r="F46" i="41"/>
  <c r="H46" i="41" s="1"/>
  <c r="K45" i="41"/>
  <c r="B48" i="41"/>
  <c r="Y48" i="41" s="1"/>
  <c r="K51" i="3"/>
  <c r="I22" i="3"/>
  <c r="M22" i="3" s="1"/>
  <c r="U19" i="19"/>
  <c r="U19" i="3"/>
  <c r="Q21" i="3"/>
  <c r="D48" i="41" l="1"/>
  <c r="C48" i="41"/>
  <c r="E48" i="41" s="1"/>
  <c r="E36" i="43"/>
  <c r="G36" i="43" s="1"/>
  <c r="D36" i="43"/>
  <c r="F36" i="43" s="1"/>
  <c r="Q21" i="19"/>
  <c r="Q22" i="19" s="1"/>
  <c r="C36" i="43"/>
  <c r="W36" i="43" s="1"/>
  <c r="K40" i="19" s="1"/>
  <c r="A38" i="19"/>
  <c r="A51" i="3"/>
  <c r="J45" i="41"/>
  <c r="G45" i="41"/>
  <c r="I36" i="19"/>
  <c r="M36" i="19" s="1"/>
  <c r="E39" i="19"/>
  <c r="C39" i="19"/>
  <c r="D39" i="19" s="1"/>
  <c r="H33" i="43"/>
  <c r="F37" i="19" s="1"/>
  <c r="K33" i="43"/>
  <c r="J34" i="43"/>
  <c r="M34" i="43" s="1"/>
  <c r="Q35" i="43"/>
  <c r="R35" i="43" s="1"/>
  <c r="S35" i="43"/>
  <c r="T35" i="43" s="1"/>
  <c r="I35" i="43"/>
  <c r="L35" i="43" s="1"/>
  <c r="L34" i="43"/>
  <c r="A37" i="43"/>
  <c r="I46" i="41"/>
  <c r="L46" i="41" s="1"/>
  <c r="R47" i="41"/>
  <c r="S47" i="41" s="1"/>
  <c r="P47" i="41"/>
  <c r="Q47" i="41" s="1"/>
  <c r="C52" i="3"/>
  <c r="F23" i="3"/>
  <c r="G23" i="3"/>
  <c r="D22" i="3"/>
  <c r="E23" i="3"/>
  <c r="F47" i="41"/>
  <c r="K46" i="41"/>
  <c r="B49" i="41"/>
  <c r="Y49" i="41" s="1"/>
  <c r="K52" i="3"/>
  <c r="I23" i="3"/>
  <c r="U20" i="19"/>
  <c r="U20" i="3"/>
  <c r="Q22" i="3"/>
  <c r="R21" i="3"/>
  <c r="D49" i="41" l="1"/>
  <c r="C49" i="41"/>
  <c r="E49" i="41" s="1"/>
  <c r="D37" i="43"/>
  <c r="F37" i="43" s="1"/>
  <c r="E37" i="43"/>
  <c r="G37" i="43" s="1"/>
  <c r="M23" i="3"/>
  <c r="R21" i="19"/>
  <c r="U21" i="19" s="1"/>
  <c r="J46" i="41"/>
  <c r="A39" i="19"/>
  <c r="A52" i="3"/>
  <c r="G46" i="41"/>
  <c r="G37" i="19"/>
  <c r="I37" i="19"/>
  <c r="M37" i="19" s="1"/>
  <c r="K34" i="43"/>
  <c r="G38" i="19" s="1"/>
  <c r="E40" i="19"/>
  <c r="C40" i="19"/>
  <c r="D40" i="19" s="1"/>
  <c r="H34" i="43"/>
  <c r="F38" i="19" s="1"/>
  <c r="C37" i="43"/>
  <c r="W37" i="43" s="1"/>
  <c r="K41" i="19" s="1"/>
  <c r="Q36" i="43"/>
  <c r="R36" i="43" s="1"/>
  <c r="S36" i="43"/>
  <c r="T36" i="43" s="1"/>
  <c r="I36" i="43"/>
  <c r="L36" i="43" s="1"/>
  <c r="J35" i="43"/>
  <c r="M35" i="43" s="1"/>
  <c r="K35" i="43" s="1"/>
  <c r="A38" i="43"/>
  <c r="I47" i="41"/>
  <c r="L47" i="41" s="1"/>
  <c r="R48" i="41"/>
  <c r="S48" i="41" s="1"/>
  <c r="P48" i="41"/>
  <c r="Q48" i="41" s="1"/>
  <c r="R49" i="41"/>
  <c r="C53" i="3"/>
  <c r="F24" i="3"/>
  <c r="G24" i="3"/>
  <c r="D23" i="3"/>
  <c r="E24" i="3"/>
  <c r="F48" i="41"/>
  <c r="H48" i="41" s="1"/>
  <c r="H47" i="41"/>
  <c r="B50" i="41"/>
  <c r="Y50" i="41" s="1"/>
  <c r="K53" i="3"/>
  <c r="I24" i="3"/>
  <c r="Q23" i="19"/>
  <c r="R22" i="19"/>
  <c r="U21" i="3"/>
  <c r="Q23" i="3"/>
  <c r="R22" i="3"/>
  <c r="C50" i="41" l="1"/>
  <c r="D50" i="41"/>
  <c r="E38" i="43"/>
  <c r="G38" i="43" s="1"/>
  <c r="D38" i="43"/>
  <c r="M24" i="3"/>
  <c r="A40" i="19"/>
  <c r="A53" i="3"/>
  <c r="G39" i="19"/>
  <c r="I38" i="19"/>
  <c r="M38" i="19" s="1"/>
  <c r="I39" i="19"/>
  <c r="M39" i="19" s="1"/>
  <c r="E41" i="19"/>
  <c r="C41" i="19"/>
  <c r="D41" i="19" s="1"/>
  <c r="J36" i="43"/>
  <c r="M36" i="43" s="1"/>
  <c r="K36" i="43" s="1"/>
  <c r="G40" i="19" s="1"/>
  <c r="H35" i="43"/>
  <c r="F39" i="19" s="1"/>
  <c r="C38" i="43"/>
  <c r="W38" i="43" s="1"/>
  <c r="K42" i="19" s="1"/>
  <c r="S37" i="43"/>
  <c r="T37" i="43" s="1"/>
  <c r="Q37" i="43"/>
  <c r="R37" i="43" s="1"/>
  <c r="I37" i="43"/>
  <c r="F38" i="43"/>
  <c r="A39" i="43"/>
  <c r="I48" i="41"/>
  <c r="L48" i="41" s="1"/>
  <c r="P50" i="41"/>
  <c r="F49" i="41"/>
  <c r="H49" i="41" s="1"/>
  <c r="P49" i="41"/>
  <c r="Q49" i="41" s="1"/>
  <c r="C54" i="3"/>
  <c r="F25" i="3"/>
  <c r="G25" i="3"/>
  <c r="D24" i="3"/>
  <c r="E25" i="3"/>
  <c r="S49" i="41"/>
  <c r="G47" i="41"/>
  <c r="K47" i="41"/>
  <c r="J47" i="41" s="1"/>
  <c r="K48" i="41"/>
  <c r="B51" i="41"/>
  <c r="Y51" i="41" s="1"/>
  <c r="K54" i="3"/>
  <c r="I25" i="3"/>
  <c r="M25" i="3" s="1"/>
  <c r="U22" i="19"/>
  <c r="Q24" i="19"/>
  <c r="R23" i="19"/>
  <c r="U22" i="3"/>
  <c r="Q24" i="3"/>
  <c r="R23" i="3"/>
  <c r="D51" i="41" l="1"/>
  <c r="C51" i="41"/>
  <c r="E51" i="41" s="1"/>
  <c r="E39" i="43"/>
  <c r="D39" i="43"/>
  <c r="F39" i="43" s="1"/>
  <c r="A41" i="19"/>
  <c r="A54" i="3"/>
  <c r="G48" i="41"/>
  <c r="J48" i="41"/>
  <c r="I40" i="19"/>
  <c r="M40" i="19" s="1"/>
  <c r="H36" i="43"/>
  <c r="F40" i="19" s="1"/>
  <c r="E42" i="19"/>
  <c r="C42" i="19"/>
  <c r="C39" i="43"/>
  <c r="W39" i="43" s="1"/>
  <c r="K43" i="19" s="1"/>
  <c r="L37" i="43"/>
  <c r="S38" i="43"/>
  <c r="T38" i="43" s="1"/>
  <c r="Q38" i="43"/>
  <c r="R38" i="43" s="1"/>
  <c r="I38" i="43"/>
  <c r="G39" i="43"/>
  <c r="J37" i="43"/>
  <c r="M37" i="43" s="1"/>
  <c r="A40" i="43"/>
  <c r="R50" i="41"/>
  <c r="S50" i="41" s="1"/>
  <c r="Q50" i="41"/>
  <c r="C55" i="3"/>
  <c r="F26" i="3"/>
  <c r="G26" i="3"/>
  <c r="D25" i="3"/>
  <c r="E26" i="3"/>
  <c r="I49" i="41"/>
  <c r="L49" i="41" s="1"/>
  <c r="F50" i="41"/>
  <c r="E50" i="41"/>
  <c r="K49" i="41"/>
  <c r="B52" i="41"/>
  <c r="Y52" i="41" s="1"/>
  <c r="K55" i="3"/>
  <c r="I26" i="3"/>
  <c r="O19" i="3"/>
  <c r="U23" i="19"/>
  <c r="Q25" i="19"/>
  <c r="R24" i="19"/>
  <c r="U23" i="3"/>
  <c r="Q25" i="3"/>
  <c r="R24" i="3"/>
  <c r="C52" i="41" l="1"/>
  <c r="D52" i="41"/>
  <c r="E40" i="43"/>
  <c r="G40" i="43" s="1"/>
  <c r="D40" i="43"/>
  <c r="F40" i="43" s="1"/>
  <c r="M26" i="3"/>
  <c r="A55" i="3"/>
  <c r="A42" i="19"/>
  <c r="J49" i="41"/>
  <c r="G49" i="41"/>
  <c r="E43" i="19"/>
  <c r="C43" i="19"/>
  <c r="D43" i="19" s="1"/>
  <c r="D42" i="19"/>
  <c r="K37" i="43"/>
  <c r="H37" i="43"/>
  <c r="F41" i="19" s="1"/>
  <c r="C40" i="43"/>
  <c r="S39" i="43"/>
  <c r="T39" i="43" s="1"/>
  <c r="Q39" i="43"/>
  <c r="R39" i="43" s="1"/>
  <c r="I39" i="43"/>
  <c r="L38" i="43"/>
  <c r="J38" i="43"/>
  <c r="M38" i="43" s="1"/>
  <c r="A41" i="43"/>
  <c r="I50" i="41"/>
  <c r="L50" i="41" s="1"/>
  <c r="E52" i="41"/>
  <c r="R51" i="41"/>
  <c r="S51" i="41" s="1"/>
  <c r="P51" i="41"/>
  <c r="Q51" i="41" s="1"/>
  <c r="C56" i="3"/>
  <c r="F27" i="3"/>
  <c r="G27" i="3"/>
  <c r="D26" i="3"/>
  <c r="E27" i="3"/>
  <c r="F51" i="41"/>
  <c r="H51" i="41" s="1"/>
  <c r="H50" i="41"/>
  <c r="B53" i="41"/>
  <c r="Y53" i="41" s="1"/>
  <c r="K56" i="3"/>
  <c r="I27" i="3"/>
  <c r="M27" i="3" s="1"/>
  <c r="O20" i="3"/>
  <c r="U24" i="19"/>
  <c r="Q26" i="19"/>
  <c r="R25" i="19"/>
  <c r="U24" i="3"/>
  <c r="Q26" i="3"/>
  <c r="R25" i="3"/>
  <c r="C53" i="41" l="1"/>
  <c r="E53" i="41" s="1"/>
  <c r="D53" i="41"/>
  <c r="E41" i="43"/>
  <c r="D41" i="43"/>
  <c r="A56" i="3"/>
  <c r="A43" i="19"/>
  <c r="C44" i="19"/>
  <c r="D44" i="19" s="1"/>
  <c r="G41" i="19"/>
  <c r="I41" i="19"/>
  <c r="M41" i="19" s="1"/>
  <c r="E44" i="19"/>
  <c r="W40" i="43"/>
  <c r="K44" i="19" s="1"/>
  <c r="K38" i="43"/>
  <c r="H38" i="43"/>
  <c r="F42" i="19" s="1"/>
  <c r="C41" i="43"/>
  <c r="J39" i="43"/>
  <c r="M39" i="43" s="1"/>
  <c r="S40" i="43"/>
  <c r="T40" i="43" s="1"/>
  <c r="Q40" i="43"/>
  <c r="R40" i="43" s="1"/>
  <c r="I40" i="43"/>
  <c r="L40" i="43" s="1"/>
  <c r="F41" i="43"/>
  <c r="G41" i="43"/>
  <c r="L39" i="43"/>
  <c r="A42" i="43"/>
  <c r="I51" i="41"/>
  <c r="L51" i="41" s="1"/>
  <c r="R52" i="41"/>
  <c r="S52" i="41" s="1"/>
  <c r="P52" i="41"/>
  <c r="Q52" i="41" s="1"/>
  <c r="C57" i="3"/>
  <c r="F28" i="3"/>
  <c r="G28" i="3"/>
  <c r="D27" i="3"/>
  <c r="E28" i="3"/>
  <c r="F52" i="41"/>
  <c r="H52" i="41" s="1"/>
  <c r="K50" i="41"/>
  <c r="J50" i="41" s="1"/>
  <c r="G50" i="41"/>
  <c r="K51" i="41"/>
  <c r="B54" i="41"/>
  <c r="Y54" i="41" s="1"/>
  <c r="K57" i="3"/>
  <c r="I28" i="3"/>
  <c r="M28" i="3" s="1"/>
  <c r="O21" i="3"/>
  <c r="U25" i="19"/>
  <c r="Q27" i="19"/>
  <c r="R26" i="19"/>
  <c r="U25" i="3"/>
  <c r="Q27" i="3"/>
  <c r="R26" i="3"/>
  <c r="C54" i="41" l="1"/>
  <c r="D54" i="41"/>
  <c r="E42" i="43"/>
  <c r="G42" i="43" s="1"/>
  <c r="D42" i="43"/>
  <c r="F42" i="43" s="1"/>
  <c r="A57" i="3"/>
  <c r="H39" i="43"/>
  <c r="F43" i="19" s="1"/>
  <c r="G51" i="41"/>
  <c r="J51" i="41"/>
  <c r="A44" i="19"/>
  <c r="C45" i="19"/>
  <c r="D45" i="19" s="1"/>
  <c r="G42" i="19"/>
  <c r="I42" i="19"/>
  <c r="M42" i="19" s="1"/>
  <c r="E45" i="19"/>
  <c r="W41" i="43"/>
  <c r="K45" i="19" s="1"/>
  <c r="J40" i="43"/>
  <c r="M40" i="43" s="1"/>
  <c r="K40" i="43" s="1"/>
  <c r="K39" i="43"/>
  <c r="G43" i="19" s="1"/>
  <c r="C42" i="43"/>
  <c r="W42" i="43" s="1"/>
  <c r="K46" i="19" s="1"/>
  <c r="S41" i="43"/>
  <c r="T41" i="43" s="1"/>
  <c r="Q41" i="43"/>
  <c r="R41" i="43" s="1"/>
  <c r="I41" i="43"/>
  <c r="A43" i="43"/>
  <c r="I52" i="41"/>
  <c r="L52" i="41" s="1"/>
  <c r="R53" i="41"/>
  <c r="S53" i="41" s="1"/>
  <c r="E54" i="41"/>
  <c r="P53" i="41"/>
  <c r="Q53" i="41" s="1"/>
  <c r="C58" i="3"/>
  <c r="A58" i="3" s="1"/>
  <c r="F29" i="3"/>
  <c r="G29" i="3"/>
  <c r="D28" i="3"/>
  <c r="E29" i="3"/>
  <c r="F53" i="41"/>
  <c r="H53" i="41" s="1"/>
  <c r="K52" i="41"/>
  <c r="B55" i="41"/>
  <c r="Y55" i="41" s="1"/>
  <c r="K58" i="3"/>
  <c r="I29" i="3"/>
  <c r="M29" i="3" s="1"/>
  <c r="O22" i="3"/>
  <c r="U26" i="19"/>
  <c r="Q28" i="19"/>
  <c r="R27" i="19"/>
  <c r="U26" i="3"/>
  <c r="Q28" i="3"/>
  <c r="R27" i="3"/>
  <c r="C55" i="41" l="1"/>
  <c r="D55" i="41"/>
  <c r="E43" i="43"/>
  <c r="G43" i="43" s="1"/>
  <c r="D43" i="43"/>
  <c r="F43" i="43" s="1"/>
  <c r="A45" i="19"/>
  <c r="G52" i="41"/>
  <c r="J52" i="41"/>
  <c r="G44" i="19"/>
  <c r="I43" i="19"/>
  <c r="M43" i="19" s="1"/>
  <c r="I44" i="19"/>
  <c r="M44" i="19" s="1"/>
  <c r="H40" i="43"/>
  <c r="F44" i="19" s="1"/>
  <c r="E46" i="19"/>
  <c r="C46" i="19"/>
  <c r="D46" i="19" s="1"/>
  <c r="C43" i="43"/>
  <c r="W43" i="43" s="1"/>
  <c r="K47" i="19" s="1"/>
  <c r="Q42" i="43"/>
  <c r="R42" i="43" s="1"/>
  <c r="S42" i="43"/>
  <c r="T42" i="43" s="1"/>
  <c r="J41" i="43"/>
  <c r="M41" i="43" s="1"/>
  <c r="I42" i="43"/>
  <c r="L41" i="43"/>
  <c r="A44" i="43"/>
  <c r="I53" i="41"/>
  <c r="L53" i="41" s="1"/>
  <c r="R54" i="41"/>
  <c r="S54" i="41" s="1"/>
  <c r="E55" i="41"/>
  <c r="F54" i="41"/>
  <c r="H54" i="41" s="1"/>
  <c r="P54" i="41"/>
  <c r="Q54" i="41" s="1"/>
  <c r="C59" i="3"/>
  <c r="A59" i="3" s="1"/>
  <c r="F30" i="3"/>
  <c r="G30" i="3"/>
  <c r="D29" i="3"/>
  <c r="E30" i="3"/>
  <c r="K53" i="41"/>
  <c r="B56" i="41"/>
  <c r="Y56" i="41" s="1"/>
  <c r="K59" i="3"/>
  <c r="I30" i="3"/>
  <c r="M30" i="3" s="1"/>
  <c r="O23" i="3"/>
  <c r="U27" i="19"/>
  <c r="Q29" i="19"/>
  <c r="R28" i="19"/>
  <c r="Q29" i="3"/>
  <c r="R28" i="3"/>
  <c r="U27" i="3"/>
  <c r="C56" i="41" l="1"/>
  <c r="D56" i="41"/>
  <c r="D44" i="43"/>
  <c r="E44" i="43"/>
  <c r="G44" i="43" s="1"/>
  <c r="J53" i="41"/>
  <c r="G53" i="41"/>
  <c r="A46" i="19"/>
  <c r="I54" i="41"/>
  <c r="L54" i="41" s="1"/>
  <c r="H41" i="43"/>
  <c r="E47" i="19"/>
  <c r="C47" i="19"/>
  <c r="D47" i="19" s="1"/>
  <c r="K41" i="43"/>
  <c r="G45" i="19" s="1"/>
  <c r="C44" i="43"/>
  <c r="W44" i="43" s="1"/>
  <c r="K48" i="19" s="1"/>
  <c r="Q43" i="43"/>
  <c r="R43" i="43" s="1"/>
  <c r="S43" i="43"/>
  <c r="T43" i="43" s="1"/>
  <c r="J42" i="43"/>
  <c r="M42" i="43" s="1"/>
  <c r="F44" i="43"/>
  <c r="I43" i="43"/>
  <c r="L42" i="43"/>
  <c r="A45" i="43"/>
  <c r="E56" i="41"/>
  <c r="R55" i="41"/>
  <c r="S55" i="41" s="1"/>
  <c r="P55" i="41"/>
  <c r="Q55" i="41" s="1"/>
  <c r="C60" i="3"/>
  <c r="A60" i="3" s="1"/>
  <c r="F31" i="3"/>
  <c r="G31" i="3"/>
  <c r="D30" i="3"/>
  <c r="E31" i="3"/>
  <c r="F55" i="41"/>
  <c r="H55" i="41" s="1"/>
  <c r="K54" i="41"/>
  <c r="B57" i="41"/>
  <c r="Y57" i="41" s="1"/>
  <c r="K60" i="3"/>
  <c r="I31" i="3"/>
  <c r="M31" i="3" s="1"/>
  <c r="O24" i="3"/>
  <c r="U28" i="19"/>
  <c r="Q30" i="19"/>
  <c r="R29" i="19"/>
  <c r="U28" i="3"/>
  <c r="Q30" i="3"/>
  <c r="R29" i="3"/>
  <c r="C57" i="41" l="1"/>
  <c r="D57" i="41"/>
  <c r="D45" i="43"/>
  <c r="F45" i="43" s="1"/>
  <c r="E45" i="43"/>
  <c r="G54" i="41"/>
  <c r="A47" i="19"/>
  <c r="J54" i="41"/>
  <c r="I45" i="19"/>
  <c r="M45" i="19" s="1"/>
  <c r="F45" i="19"/>
  <c r="E48" i="19"/>
  <c r="C48" i="19"/>
  <c r="D48" i="19" s="1"/>
  <c r="K42" i="43"/>
  <c r="H42" i="43"/>
  <c r="F46" i="19" s="1"/>
  <c r="C45" i="43"/>
  <c r="W45" i="43" s="1"/>
  <c r="K49" i="19" s="1"/>
  <c r="J43" i="43"/>
  <c r="M43" i="43" s="1"/>
  <c r="Q44" i="43"/>
  <c r="R44" i="43" s="1"/>
  <c r="S44" i="43"/>
  <c r="T44" i="43" s="1"/>
  <c r="I44" i="43"/>
  <c r="L43" i="43"/>
  <c r="G45" i="43"/>
  <c r="A46" i="43"/>
  <c r="I55" i="41"/>
  <c r="L55" i="41" s="1"/>
  <c r="R56" i="41"/>
  <c r="S56" i="41" s="1"/>
  <c r="P57" i="41"/>
  <c r="P56" i="41"/>
  <c r="Q56" i="41" s="1"/>
  <c r="C61" i="3"/>
  <c r="A61" i="3" s="1"/>
  <c r="F32" i="3"/>
  <c r="G32" i="3"/>
  <c r="D31" i="3"/>
  <c r="E32" i="3"/>
  <c r="F56" i="41"/>
  <c r="H56" i="41" s="1"/>
  <c r="K55" i="41"/>
  <c r="B58" i="41"/>
  <c r="Y58" i="41" s="1"/>
  <c r="K61" i="3"/>
  <c r="I32" i="3"/>
  <c r="M32" i="3" s="1"/>
  <c r="O25" i="3"/>
  <c r="U29" i="19"/>
  <c r="Q31" i="19"/>
  <c r="R30" i="19"/>
  <c r="Q31" i="3"/>
  <c r="R30" i="3"/>
  <c r="U29" i="3"/>
  <c r="D58" i="41" l="1"/>
  <c r="C58" i="41"/>
  <c r="D46" i="43"/>
  <c r="E46" i="43"/>
  <c r="A48" i="19"/>
  <c r="J55" i="41"/>
  <c r="G55" i="41"/>
  <c r="G46" i="19"/>
  <c r="I46" i="19"/>
  <c r="M46" i="19" s="1"/>
  <c r="E49" i="19"/>
  <c r="C49" i="19"/>
  <c r="D49" i="19" s="1"/>
  <c r="H43" i="43"/>
  <c r="F47" i="19" s="1"/>
  <c r="K43" i="43"/>
  <c r="G47" i="19" s="1"/>
  <c r="C46" i="43"/>
  <c r="W46" i="43" s="1"/>
  <c r="K50" i="19" s="1"/>
  <c r="J44" i="43"/>
  <c r="M44" i="43" s="1"/>
  <c r="S45" i="43"/>
  <c r="T45" i="43" s="1"/>
  <c r="Q45" i="43"/>
  <c r="R45" i="43" s="1"/>
  <c r="I45" i="43"/>
  <c r="G46" i="43"/>
  <c r="F46" i="43"/>
  <c r="L44" i="43"/>
  <c r="A47" i="43"/>
  <c r="I56" i="41"/>
  <c r="L56" i="41" s="1"/>
  <c r="R57" i="41"/>
  <c r="S57" i="41" s="1"/>
  <c r="E58" i="41"/>
  <c r="Q57" i="41"/>
  <c r="C62" i="3"/>
  <c r="A62" i="3" s="1"/>
  <c r="F33" i="3"/>
  <c r="G33" i="3"/>
  <c r="D32" i="3"/>
  <c r="E33" i="3"/>
  <c r="E57" i="41"/>
  <c r="F57" i="41"/>
  <c r="K56" i="41"/>
  <c r="B59" i="41"/>
  <c r="Y59" i="41" s="1"/>
  <c r="K62" i="3"/>
  <c r="I33" i="3"/>
  <c r="M33" i="3" s="1"/>
  <c r="O26" i="3"/>
  <c r="U30" i="19"/>
  <c r="Q32" i="19"/>
  <c r="R31" i="19"/>
  <c r="U30" i="3"/>
  <c r="Q32" i="3"/>
  <c r="R31" i="3"/>
  <c r="C59" i="41" l="1"/>
  <c r="D59" i="41"/>
  <c r="F59" i="41" s="1"/>
  <c r="E47" i="43"/>
  <c r="G47" i="43" s="1"/>
  <c r="D47" i="43"/>
  <c r="F47" i="43" s="1"/>
  <c r="J56" i="41"/>
  <c r="G56" i="41"/>
  <c r="A49" i="19"/>
  <c r="I47" i="19"/>
  <c r="M47" i="19" s="1"/>
  <c r="E50" i="19"/>
  <c r="C50" i="19"/>
  <c r="D50" i="19" s="1"/>
  <c r="H44" i="43"/>
  <c r="F48" i="19" s="1"/>
  <c r="K44" i="43"/>
  <c r="G48" i="19" s="1"/>
  <c r="C47" i="43"/>
  <c r="W47" i="43" s="1"/>
  <c r="K51" i="19" s="1"/>
  <c r="S46" i="43"/>
  <c r="T46" i="43" s="1"/>
  <c r="Q46" i="43"/>
  <c r="R46" i="43" s="1"/>
  <c r="I46" i="43"/>
  <c r="L45" i="43"/>
  <c r="J45" i="43"/>
  <c r="M45" i="43" s="1"/>
  <c r="A48" i="43"/>
  <c r="I57" i="41"/>
  <c r="L57" i="41" s="1"/>
  <c r="R58" i="41"/>
  <c r="S58" i="41" s="1"/>
  <c r="E59" i="41"/>
  <c r="P58" i="41"/>
  <c r="Q58" i="41" s="1"/>
  <c r="C63" i="3"/>
  <c r="A63" i="3" s="1"/>
  <c r="F34" i="3"/>
  <c r="G34" i="3"/>
  <c r="H57" i="41"/>
  <c r="D33" i="3"/>
  <c r="E34" i="3"/>
  <c r="F58" i="41"/>
  <c r="H58" i="41" s="1"/>
  <c r="B60" i="41"/>
  <c r="Y60" i="41" s="1"/>
  <c r="K63" i="3"/>
  <c r="I34" i="3"/>
  <c r="M34" i="3" s="1"/>
  <c r="O29" i="3"/>
  <c r="O27" i="3"/>
  <c r="U31" i="19"/>
  <c r="Q33" i="19"/>
  <c r="R32" i="19"/>
  <c r="U31" i="3"/>
  <c r="Q33" i="3"/>
  <c r="R32" i="3"/>
  <c r="D60" i="41" l="1"/>
  <c r="C60" i="41"/>
  <c r="E60" i="41" s="1"/>
  <c r="E48" i="43"/>
  <c r="D48" i="43"/>
  <c r="G57" i="41"/>
  <c r="A50" i="19"/>
  <c r="I48" i="19"/>
  <c r="M48" i="19" s="1"/>
  <c r="K45" i="43"/>
  <c r="G49" i="19" s="1"/>
  <c r="H45" i="43"/>
  <c r="F49" i="19" s="1"/>
  <c r="E51" i="19"/>
  <c r="C51" i="19"/>
  <c r="D51" i="19" s="1"/>
  <c r="J46" i="43"/>
  <c r="M46" i="43" s="1"/>
  <c r="C48" i="43"/>
  <c r="W48" i="43" s="1"/>
  <c r="K52" i="19" s="1"/>
  <c r="S47" i="43"/>
  <c r="T47" i="43" s="1"/>
  <c r="Q47" i="43"/>
  <c r="R47" i="43" s="1"/>
  <c r="L46" i="43"/>
  <c r="I47" i="43"/>
  <c r="G48" i="43"/>
  <c r="F48" i="43"/>
  <c r="A49" i="43"/>
  <c r="I58" i="41"/>
  <c r="L58" i="41" s="1"/>
  <c r="R59" i="41"/>
  <c r="S59" i="41" s="1"/>
  <c r="R60" i="41"/>
  <c r="P59" i="41"/>
  <c r="Q59" i="41" s="1"/>
  <c r="C64" i="3"/>
  <c r="A64" i="3" s="1"/>
  <c r="K57" i="41"/>
  <c r="J57" i="41" s="1"/>
  <c r="F35" i="3"/>
  <c r="G35" i="3"/>
  <c r="D34" i="3"/>
  <c r="E35" i="3"/>
  <c r="H59" i="41"/>
  <c r="K58" i="41"/>
  <c r="B61" i="41"/>
  <c r="Y61" i="41" s="1"/>
  <c r="K64" i="3"/>
  <c r="I35" i="3"/>
  <c r="M35" i="3" s="1"/>
  <c r="O28" i="3"/>
  <c r="U32" i="19"/>
  <c r="Q34" i="19"/>
  <c r="R33" i="19"/>
  <c r="U32" i="3"/>
  <c r="Q34" i="3"/>
  <c r="R33" i="3"/>
  <c r="D61" i="41" l="1"/>
  <c r="C61" i="41"/>
  <c r="D49" i="43"/>
  <c r="F49" i="43" s="1"/>
  <c r="E49" i="43"/>
  <c r="G49" i="43" s="1"/>
  <c r="A51" i="19"/>
  <c r="J58" i="41"/>
  <c r="G58" i="41"/>
  <c r="I49" i="19"/>
  <c r="M49" i="19" s="1"/>
  <c r="K46" i="43"/>
  <c r="G50" i="19" s="1"/>
  <c r="E52" i="19"/>
  <c r="C52" i="19"/>
  <c r="D52" i="19" s="1"/>
  <c r="J47" i="43"/>
  <c r="M47" i="43" s="1"/>
  <c r="H46" i="43"/>
  <c r="F50" i="19" s="1"/>
  <c r="C49" i="43"/>
  <c r="W49" i="43" s="1"/>
  <c r="K53" i="19" s="1"/>
  <c r="L47" i="43"/>
  <c r="S48" i="43"/>
  <c r="T48" i="43" s="1"/>
  <c r="Q48" i="43"/>
  <c r="R48" i="43" s="1"/>
  <c r="I48" i="43"/>
  <c r="A50" i="43"/>
  <c r="P61" i="41"/>
  <c r="F60" i="41"/>
  <c r="H60" i="41" s="1"/>
  <c r="R61" i="41"/>
  <c r="P60" i="41"/>
  <c r="Q60" i="41" s="1"/>
  <c r="C65" i="3"/>
  <c r="A65" i="3" s="1"/>
  <c r="F36" i="3"/>
  <c r="G36" i="3"/>
  <c r="D35" i="3"/>
  <c r="E36" i="3"/>
  <c r="I59" i="41"/>
  <c r="L59" i="41" s="1"/>
  <c r="S60" i="41"/>
  <c r="K59" i="41"/>
  <c r="B62" i="41"/>
  <c r="Y62" i="41" s="1"/>
  <c r="K65" i="3"/>
  <c r="I36" i="3"/>
  <c r="M36" i="3" s="1"/>
  <c r="U33" i="19"/>
  <c r="Q35" i="19"/>
  <c r="R34" i="19"/>
  <c r="U33" i="3"/>
  <c r="Q35" i="3"/>
  <c r="R34" i="3"/>
  <c r="D62" i="41" l="1"/>
  <c r="C62" i="41"/>
  <c r="P62" i="41" s="1"/>
  <c r="D50" i="43"/>
  <c r="E50" i="43"/>
  <c r="A52" i="19"/>
  <c r="J59" i="41"/>
  <c r="G59" i="41"/>
  <c r="I50" i="19"/>
  <c r="M50" i="19" s="1"/>
  <c r="K47" i="43"/>
  <c r="G51" i="19" s="1"/>
  <c r="H47" i="43"/>
  <c r="E53" i="19"/>
  <c r="C53" i="19"/>
  <c r="D53" i="19" s="1"/>
  <c r="C50" i="43"/>
  <c r="W50" i="43" s="1"/>
  <c r="K54" i="19" s="1"/>
  <c r="J48" i="43"/>
  <c r="M48" i="43" s="1"/>
  <c r="S49" i="43"/>
  <c r="T49" i="43" s="1"/>
  <c r="Q49" i="43"/>
  <c r="R49" i="43" s="1"/>
  <c r="I49" i="43"/>
  <c r="L49" i="43" s="1"/>
  <c r="L48" i="43"/>
  <c r="G50" i="43"/>
  <c r="F50" i="43"/>
  <c r="A51" i="43"/>
  <c r="F62" i="41"/>
  <c r="C66" i="3"/>
  <c r="A66" i="3" s="1"/>
  <c r="F37" i="3"/>
  <c r="G37" i="3"/>
  <c r="D36" i="3"/>
  <c r="E37" i="3"/>
  <c r="I60" i="41"/>
  <c r="L60" i="41" s="1"/>
  <c r="F61" i="41"/>
  <c r="E61" i="41"/>
  <c r="S61" i="41"/>
  <c r="K60" i="41"/>
  <c r="B63" i="41"/>
  <c r="Y63" i="41" s="1"/>
  <c r="K66" i="3"/>
  <c r="I37" i="3"/>
  <c r="M37" i="3" s="1"/>
  <c r="O30" i="3"/>
  <c r="U34" i="19"/>
  <c r="Q36" i="19"/>
  <c r="R35" i="19"/>
  <c r="U34" i="3"/>
  <c r="Q36" i="3"/>
  <c r="R35" i="3"/>
  <c r="D63" i="41" l="1"/>
  <c r="C63" i="41"/>
  <c r="D51" i="43"/>
  <c r="E51" i="43"/>
  <c r="A53" i="19"/>
  <c r="J60" i="41"/>
  <c r="G60" i="41"/>
  <c r="I51" i="19"/>
  <c r="M51" i="19" s="1"/>
  <c r="K48" i="43"/>
  <c r="G52" i="19" s="1"/>
  <c r="F51" i="19"/>
  <c r="H48" i="43"/>
  <c r="F52" i="19" s="1"/>
  <c r="E54" i="19"/>
  <c r="J49" i="43"/>
  <c r="M49" i="43" s="1"/>
  <c r="K49" i="43" s="1"/>
  <c r="G53" i="19" s="1"/>
  <c r="C54" i="19"/>
  <c r="D54" i="19" s="1"/>
  <c r="C51" i="43"/>
  <c r="W51" i="43" s="1"/>
  <c r="K55" i="19" s="1"/>
  <c r="Q50" i="43"/>
  <c r="R50" i="43" s="1"/>
  <c r="S50" i="43"/>
  <c r="T50" i="43" s="1"/>
  <c r="I50" i="43"/>
  <c r="L50" i="43" s="1"/>
  <c r="G51" i="43"/>
  <c r="F51" i="43"/>
  <c r="A52" i="43"/>
  <c r="R62" i="41"/>
  <c r="S62" i="41" s="1"/>
  <c r="Q62" i="41"/>
  <c r="C67" i="3"/>
  <c r="A67" i="3" s="1"/>
  <c r="F38" i="3"/>
  <c r="G38" i="3"/>
  <c r="D37" i="3"/>
  <c r="E38" i="3"/>
  <c r="E62" i="41"/>
  <c r="H61" i="41"/>
  <c r="Q61" i="41"/>
  <c r="I61" i="41" s="1"/>
  <c r="L61" i="41" s="1"/>
  <c r="B64" i="41"/>
  <c r="Y64" i="41" s="1"/>
  <c r="K67" i="3"/>
  <c r="I38" i="3"/>
  <c r="M38" i="3" s="1"/>
  <c r="O31" i="3"/>
  <c r="Q37" i="19"/>
  <c r="R36" i="19"/>
  <c r="U35" i="19"/>
  <c r="U35" i="3"/>
  <c r="Q37" i="3"/>
  <c r="R36" i="3"/>
  <c r="C64" i="41" l="1"/>
  <c r="D64" i="41"/>
  <c r="D52" i="43"/>
  <c r="E52" i="43"/>
  <c r="A54" i="19"/>
  <c r="I52" i="19"/>
  <c r="M52" i="19" s="1"/>
  <c r="I53" i="19"/>
  <c r="M53" i="19" s="1"/>
  <c r="H49" i="43"/>
  <c r="F53" i="19" s="1"/>
  <c r="E55" i="19"/>
  <c r="C55" i="19"/>
  <c r="C52" i="43"/>
  <c r="W52" i="43" s="1"/>
  <c r="K56" i="19" s="1"/>
  <c r="S51" i="43"/>
  <c r="T51" i="43" s="1"/>
  <c r="Q51" i="43"/>
  <c r="R51" i="43" s="1"/>
  <c r="I51" i="43"/>
  <c r="G52" i="43"/>
  <c r="F52" i="43"/>
  <c r="J50" i="43"/>
  <c r="M50" i="43" s="1"/>
  <c r="K50" i="43" s="1"/>
  <c r="G54" i="19" s="1"/>
  <c r="A53" i="43"/>
  <c r="I62" i="41"/>
  <c r="L62" i="41" s="1"/>
  <c r="E64" i="41"/>
  <c r="R63" i="41"/>
  <c r="S63" i="41" s="1"/>
  <c r="P63" i="41"/>
  <c r="Q63" i="41" s="1"/>
  <c r="C68" i="3"/>
  <c r="A68" i="3" s="1"/>
  <c r="F39" i="3"/>
  <c r="G39" i="3"/>
  <c r="D38" i="3"/>
  <c r="E39" i="3"/>
  <c r="E63" i="41"/>
  <c r="F63" i="41"/>
  <c r="H62" i="41"/>
  <c r="G61" i="41"/>
  <c r="K61" i="41"/>
  <c r="K68" i="3"/>
  <c r="B65" i="41"/>
  <c r="Y65" i="41" s="1"/>
  <c r="I39" i="3"/>
  <c r="M39" i="3" s="1"/>
  <c r="O32" i="3"/>
  <c r="U36" i="19"/>
  <c r="Q38" i="19"/>
  <c r="R37" i="19"/>
  <c r="U36" i="3"/>
  <c r="Q38" i="3"/>
  <c r="R37" i="3"/>
  <c r="D65" i="41" l="1"/>
  <c r="C65" i="41"/>
  <c r="P65" i="41" s="1"/>
  <c r="D53" i="43"/>
  <c r="F53" i="43" s="1"/>
  <c r="E53" i="43"/>
  <c r="A55" i="19"/>
  <c r="I54" i="19"/>
  <c r="M54" i="19" s="1"/>
  <c r="E56" i="19"/>
  <c r="C56" i="19"/>
  <c r="D56" i="19" s="1"/>
  <c r="D55" i="19"/>
  <c r="H50" i="43"/>
  <c r="F54" i="19" s="1"/>
  <c r="C53" i="43"/>
  <c r="W53" i="43" s="1"/>
  <c r="K57" i="19" s="1"/>
  <c r="J51" i="43"/>
  <c r="M51" i="43" s="1"/>
  <c r="Q52" i="43"/>
  <c r="R52" i="43" s="1"/>
  <c r="S52" i="43"/>
  <c r="T52" i="43" s="1"/>
  <c r="I52" i="43"/>
  <c r="G53" i="43"/>
  <c r="L51" i="43"/>
  <c r="A54" i="43"/>
  <c r="I63" i="41"/>
  <c r="L63" i="41" s="1"/>
  <c r="R64" i="41"/>
  <c r="S64" i="41" s="1"/>
  <c r="R65" i="41"/>
  <c r="F64" i="41"/>
  <c r="H64" i="41" s="1"/>
  <c r="P64" i="41"/>
  <c r="Q64" i="41" s="1"/>
  <c r="C69" i="3"/>
  <c r="A69" i="3" s="1"/>
  <c r="F40" i="3"/>
  <c r="G40" i="3"/>
  <c r="D39" i="3"/>
  <c r="E40" i="3"/>
  <c r="G62" i="41"/>
  <c r="K62" i="41"/>
  <c r="J62" i="41" s="1"/>
  <c r="H63" i="41"/>
  <c r="J61" i="41"/>
  <c r="K69" i="3"/>
  <c r="B66" i="41"/>
  <c r="Y66" i="41" s="1"/>
  <c r="I40" i="3"/>
  <c r="M40" i="3" s="1"/>
  <c r="O33" i="3"/>
  <c r="U37" i="19"/>
  <c r="Q39" i="19"/>
  <c r="R38" i="19"/>
  <c r="U37" i="3"/>
  <c r="Q39" i="3"/>
  <c r="R38" i="3"/>
  <c r="D66" i="41" l="1"/>
  <c r="C66" i="41"/>
  <c r="E54" i="43"/>
  <c r="G54" i="43" s="1"/>
  <c r="D54" i="43"/>
  <c r="A56" i="19"/>
  <c r="I64" i="41"/>
  <c r="G64" i="41" s="1"/>
  <c r="C57" i="19"/>
  <c r="D57" i="19" s="1"/>
  <c r="E57" i="19"/>
  <c r="K51" i="43"/>
  <c r="H51" i="43"/>
  <c r="J52" i="43"/>
  <c r="M52" i="43" s="1"/>
  <c r="C54" i="43"/>
  <c r="S53" i="43"/>
  <c r="T53" i="43" s="1"/>
  <c r="L52" i="43"/>
  <c r="Q53" i="43"/>
  <c r="R53" i="43" s="1"/>
  <c r="I53" i="43"/>
  <c r="F54" i="43"/>
  <c r="A55" i="43"/>
  <c r="E66" i="41"/>
  <c r="F66" i="41"/>
  <c r="F65" i="41"/>
  <c r="Q65" i="41"/>
  <c r="C70" i="3"/>
  <c r="A70" i="3" s="1"/>
  <c r="F41" i="3"/>
  <c r="G41" i="3"/>
  <c r="D40" i="3"/>
  <c r="E41" i="3"/>
  <c r="E65" i="41"/>
  <c r="S65" i="41"/>
  <c r="K63" i="41"/>
  <c r="J63" i="41" s="1"/>
  <c r="G63" i="41"/>
  <c r="K64" i="41"/>
  <c r="K70" i="3"/>
  <c r="B67" i="41"/>
  <c r="Y67" i="41" s="1"/>
  <c r="I41" i="3"/>
  <c r="M41" i="3" s="1"/>
  <c r="O34" i="3"/>
  <c r="U38" i="19"/>
  <c r="Q40" i="19"/>
  <c r="R39" i="19"/>
  <c r="Q40" i="3"/>
  <c r="R39" i="3"/>
  <c r="U38" i="3"/>
  <c r="D67" i="41" l="1"/>
  <c r="C67" i="41"/>
  <c r="E55" i="43"/>
  <c r="D55" i="43"/>
  <c r="L64" i="41"/>
  <c r="J64" i="41" s="1"/>
  <c r="A57" i="19"/>
  <c r="G55" i="19"/>
  <c r="I55" i="19"/>
  <c r="M55" i="19" s="1"/>
  <c r="C58" i="19"/>
  <c r="D58" i="19" s="1"/>
  <c r="F55" i="19"/>
  <c r="K52" i="43"/>
  <c r="W54" i="43"/>
  <c r="K58" i="19" s="1"/>
  <c r="E58" i="19"/>
  <c r="J53" i="43"/>
  <c r="M53" i="43" s="1"/>
  <c r="H52" i="43"/>
  <c r="F56" i="19" s="1"/>
  <c r="C55" i="43"/>
  <c r="W55" i="43" s="1"/>
  <c r="K59" i="19" s="1"/>
  <c r="S54" i="43"/>
  <c r="T54" i="43" s="1"/>
  <c r="Q54" i="43"/>
  <c r="R54" i="43" s="1"/>
  <c r="G55" i="43"/>
  <c r="F55" i="43"/>
  <c r="I54" i="43"/>
  <c r="L53" i="43"/>
  <c r="A56" i="43"/>
  <c r="I65" i="41"/>
  <c r="L65" i="41" s="1"/>
  <c r="R66" i="41"/>
  <c r="S66" i="41" s="1"/>
  <c r="E67" i="41"/>
  <c r="P66" i="41"/>
  <c r="Q66" i="41" s="1"/>
  <c r="C71" i="3"/>
  <c r="A71" i="3" s="1"/>
  <c r="F42" i="3"/>
  <c r="G42" i="3"/>
  <c r="D41" i="3"/>
  <c r="E42" i="3"/>
  <c r="H66" i="41"/>
  <c r="H65" i="41"/>
  <c r="K71" i="3"/>
  <c r="B68" i="41"/>
  <c r="Y68" i="41" s="1"/>
  <c r="I42" i="3"/>
  <c r="M42" i="3" s="1"/>
  <c r="O35" i="3"/>
  <c r="Q41" i="19"/>
  <c r="R40" i="19"/>
  <c r="U39" i="19"/>
  <c r="Q41" i="3"/>
  <c r="R40" i="3"/>
  <c r="U39" i="3"/>
  <c r="C68" i="41" l="1"/>
  <c r="D68" i="41"/>
  <c r="D56" i="43"/>
  <c r="F56" i="43" s="1"/>
  <c r="E56" i="43"/>
  <c r="G56" i="43" s="1"/>
  <c r="A58" i="19"/>
  <c r="H53" i="43"/>
  <c r="F57" i="19" s="1"/>
  <c r="G56" i="19"/>
  <c r="I56" i="19"/>
  <c r="M56" i="19" s="1"/>
  <c r="K53" i="43"/>
  <c r="I57" i="19" s="1"/>
  <c r="M57" i="19" s="1"/>
  <c r="E59" i="19"/>
  <c r="C59" i="19"/>
  <c r="D59" i="19" s="1"/>
  <c r="J54" i="43"/>
  <c r="M54" i="43" s="1"/>
  <c r="C56" i="43"/>
  <c r="W56" i="43" s="1"/>
  <c r="K60" i="19" s="1"/>
  <c r="S55" i="43"/>
  <c r="T55" i="43" s="1"/>
  <c r="Q55" i="43"/>
  <c r="R55" i="43" s="1"/>
  <c r="I55" i="43"/>
  <c r="L54" i="43"/>
  <c r="A57" i="43"/>
  <c r="I66" i="41"/>
  <c r="L66" i="41" s="1"/>
  <c r="R67" i="41"/>
  <c r="S67" i="41" s="1"/>
  <c r="F67" i="41"/>
  <c r="H67" i="41" s="1"/>
  <c r="E68" i="41"/>
  <c r="P67" i="41"/>
  <c r="Q67" i="41" s="1"/>
  <c r="C72" i="3"/>
  <c r="A72" i="3" s="1"/>
  <c r="F43" i="3"/>
  <c r="G43" i="3"/>
  <c r="D42" i="3"/>
  <c r="E43" i="3"/>
  <c r="G65" i="41"/>
  <c r="K65" i="41"/>
  <c r="J65" i="41" s="1"/>
  <c r="K66" i="41"/>
  <c r="B69" i="41"/>
  <c r="Y69" i="41" s="1"/>
  <c r="K72" i="3"/>
  <c r="I43" i="3"/>
  <c r="M43" i="3" s="1"/>
  <c r="O36" i="3"/>
  <c r="U40" i="19"/>
  <c r="Q42" i="19"/>
  <c r="R41" i="19"/>
  <c r="U40" i="3"/>
  <c r="Q42" i="3"/>
  <c r="R41" i="3"/>
  <c r="D69" i="41" l="1"/>
  <c r="C69" i="41"/>
  <c r="E69" i="41" s="1"/>
  <c r="D57" i="43"/>
  <c r="F57" i="43" s="1"/>
  <c r="E57" i="43"/>
  <c r="G57" i="43" s="1"/>
  <c r="G57" i="19"/>
  <c r="G66" i="41"/>
  <c r="J66" i="41"/>
  <c r="A59" i="19"/>
  <c r="I67" i="41"/>
  <c r="L67" i="41" s="1"/>
  <c r="K54" i="43"/>
  <c r="I58" i="19" s="1"/>
  <c r="M58" i="19" s="1"/>
  <c r="H54" i="43"/>
  <c r="F58" i="19" s="1"/>
  <c r="E60" i="19"/>
  <c r="C60" i="19"/>
  <c r="D60" i="19" s="1"/>
  <c r="J55" i="43"/>
  <c r="M55" i="43" s="1"/>
  <c r="C57" i="43"/>
  <c r="W57" i="43" s="1"/>
  <c r="K61" i="19" s="1"/>
  <c r="S56" i="43"/>
  <c r="T56" i="43" s="1"/>
  <c r="Q56" i="43"/>
  <c r="R56" i="43" s="1"/>
  <c r="I56" i="43"/>
  <c r="L55" i="43"/>
  <c r="A58" i="43"/>
  <c r="R68" i="41"/>
  <c r="S68" i="41" s="1"/>
  <c r="P68" i="41"/>
  <c r="Q68" i="41" s="1"/>
  <c r="C73" i="3"/>
  <c r="A73" i="3" s="1"/>
  <c r="F44" i="3"/>
  <c r="G44" i="3"/>
  <c r="D43" i="3"/>
  <c r="E44" i="3"/>
  <c r="F68" i="41"/>
  <c r="H68" i="41" s="1"/>
  <c r="K67" i="41"/>
  <c r="K73" i="3"/>
  <c r="B70" i="41"/>
  <c r="Y70" i="41" s="1"/>
  <c r="I44" i="3"/>
  <c r="M44" i="3" s="1"/>
  <c r="O37" i="3"/>
  <c r="U41" i="19"/>
  <c r="Q43" i="19"/>
  <c r="R42" i="19"/>
  <c r="U41" i="3"/>
  <c r="Q43" i="3"/>
  <c r="R42" i="3"/>
  <c r="C70" i="41" l="1"/>
  <c r="D70" i="41"/>
  <c r="D58" i="43"/>
  <c r="F58" i="43" s="1"/>
  <c r="E58" i="43"/>
  <c r="G58" i="43" s="1"/>
  <c r="G67" i="41"/>
  <c r="G58" i="19"/>
  <c r="H55" i="43"/>
  <c r="F59" i="19" s="1"/>
  <c r="J67" i="41"/>
  <c r="A60" i="19"/>
  <c r="K55" i="43"/>
  <c r="I59" i="19" s="1"/>
  <c r="M59" i="19" s="1"/>
  <c r="E61" i="19"/>
  <c r="C61" i="19"/>
  <c r="C58" i="43"/>
  <c r="W58" i="43" s="1"/>
  <c r="K62" i="19" s="1"/>
  <c r="S57" i="43"/>
  <c r="T57" i="43" s="1"/>
  <c r="Q57" i="43"/>
  <c r="R57" i="43" s="1"/>
  <c r="I57" i="43"/>
  <c r="L56" i="43"/>
  <c r="J56" i="43"/>
  <c r="M56" i="43" s="1"/>
  <c r="A59" i="43"/>
  <c r="I68" i="41"/>
  <c r="L68" i="41" s="1"/>
  <c r="R69" i="41"/>
  <c r="S69" i="41" s="1"/>
  <c r="F69" i="41"/>
  <c r="H69" i="41" s="1"/>
  <c r="P69" i="41"/>
  <c r="Q69" i="41" s="1"/>
  <c r="C74" i="3"/>
  <c r="A74" i="3" s="1"/>
  <c r="F45" i="3"/>
  <c r="G45" i="3"/>
  <c r="D44" i="3"/>
  <c r="E45" i="3"/>
  <c r="K68" i="41"/>
  <c r="K74" i="3"/>
  <c r="B71" i="41"/>
  <c r="Y71" i="41" s="1"/>
  <c r="O38" i="3"/>
  <c r="U42" i="19"/>
  <c r="Q44" i="19"/>
  <c r="R43" i="19"/>
  <c r="U42" i="3"/>
  <c r="Q44" i="3"/>
  <c r="R43" i="3"/>
  <c r="D71" i="41" l="1"/>
  <c r="C71" i="41"/>
  <c r="D59" i="43"/>
  <c r="E59" i="43"/>
  <c r="G59" i="19"/>
  <c r="G68" i="41"/>
  <c r="A61" i="19"/>
  <c r="J68" i="41"/>
  <c r="H56" i="43"/>
  <c r="F60" i="19" s="1"/>
  <c r="K56" i="43"/>
  <c r="E62" i="19"/>
  <c r="J57" i="43"/>
  <c r="M57" i="43" s="1"/>
  <c r="C62" i="19"/>
  <c r="D62" i="19" s="1"/>
  <c r="D61" i="19"/>
  <c r="C59" i="43"/>
  <c r="W59" i="43" s="1"/>
  <c r="K63" i="19" s="1"/>
  <c r="Q58" i="43"/>
  <c r="R58" i="43" s="1"/>
  <c r="S58" i="43"/>
  <c r="T58" i="43" s="1"/>
  <c r="I58" i="43"/>
  <c r="G59" i="43"/>
  <c r="F59" i="43"/>
  <c r="L57" i="43"/>
  <c r="A60" i="43"/>
  <c r="I69" i="41"/>
  <c r="L69" i="41" s="1"/>
  <c r="R70" i="41"/>
  <c r="S70" i="41" s="1"/>
  <c r="F70" i="41"/>
  <c r="E71" i="41"/>
  <c r="P70" i="41"/>
  <c r="Q70" i="41" s="1"/>
  <c r="F71" i="41"/>
  <c r="C75" i="3"/>
  <c r="A75" i="3" s="1"/>
  <c r="I45" i="3"/>
  <c r="M45" i="3" s="1"/>
  <c r="F46" i="3"/>
  <c r="G46" i="3"/>
  <c r="D45" i="3"/>
  <c r="E46" i="3"/>
  <c r="E70" i="41"/>
  <c r="K69" i="41"/>
  <c r="K75" i="3"/>
  <c r="B72" i="41"/>
  <c r="Y72" i="41" s="1"/>
  <c r="O39" i="3"/>
  <c r="U43" i="19"/>
  <c r="Q45" i="19"/>
  <c r="R44" i="19"/>
  <c r="Q45" i="3"/>
  <c r="R44" i="3"/>
  <c r="U43" i="3"/>
  <c r="C72" i="41" l="1"/>
  <c r="D72" i="41"/>
  <c r="E60" i="43"/>
  <c r="G60" i="43" s="1"/>
  <c r="D60" i="43"/>
  <c r="F60" i="43" s="1"/>
  <c r="I60" i="19"/>
  <c r="M60" i="19" s="1"/>
  <c r="G60" i="19"/>
  <c r="H70" i="41"/>
  <c r="K70" i="41" s="1"/>
  <c r="A62" i="19"/>
  <c r="J69" i="41"/>
  <c r="G69" i="41"/>
  <c r="K57" i="43"/>
  <c r="I61" i="19" s="1"/>
  <c r="M61" i="19" s="1"/>
  <c r="H57" i="43"/>
  <c r="F61" i="19" s="1"/>
  <c r="E63" i="19"/>
  <c r="C63" i="19"/>
  <c r="D63" i="19" s="1"/>
  <c r="J58" i="43"/>
  <c r="M58" i="43" s="1"/>
  <c r="C60" i="43"/>
  <c r="W60" i="43" s="1"/>
  <c r="K64" i="19" s="1"/>
  <c r="Q59" i="43"/>
  <c r="R59" i="43" s="1"/>
  <c r="S59" i="43"/>
  <c r="T59" i="43" s="1"/>
  <c r="I59" i="43"/>
  <c r="L58" i="43"/>
  <c r="A61" i="43"/>
  <c r="I70" i="41"/>
  <c r="L70" i="41" s="1"/>
  <c r="R71" i="41"/>
  <c r="S71" i="41" s="1"/>
  <c r="E72" i="41"/>
  <c r="P71" i="41"/>
  <c r="Q71" i="41" s="1"/>
  <c r="C76" i="3"/>
  <c r="A76" i="3" s="1"/>
  <c r="I46" i="3"/>
  <c r="M46" i="3" s="1"/>
  <c r="F47" i="3"/>
  <c r="G47" i="3"/>
  <c r="D46" i="3"/>
  <c r="E47" i="3"/>
  <c r="H71" i="41"/>
  <c r="K76" i="3"/>
  <c r="B73" i="41"/>
  <c r="Y73" i="41" s="1"/>
  <c r="O40" i="3"/>
  <c r="U44" i="19"/>
  <c r="Q46" i="19"/>
  <c r="R45" i="19"/>
  <c r="U44" i="3"/>
  <c r="Q46" i="3"/>
  <c r="R45" i="3"/>
  <c r="C73" i="41" l="1"/>
  <c r="D73" i="41"/>
  <c r="E61" i="43"/>
  <c r="D61" i="43"/>
  <c r="G61" i="19"/>
  <c r="A63" i="19"/>
  <c r="G70" i="41"/>
  <c r="J70" i="41"/>
  <c r="K58" i="43"/>
  <c r="I62" i="19" s="1"/>
  <c r="M62" i="19" s="1"/>
  <c r="H58" i="43"/>
  <c r="F62" i="19" s="1"/>
  <c r="C64" i="19"/>
  <c r="D64" i="19" s="1"/>
  <c r="E64" i="19"/>
  <c r="C61" i="43"/>
  <c r="Q60" i="43"/>
  <c r="R60" i="43" s="1"/>
  <c r="L59" i="43"/>
  <c r="S60" i="43"/>
  <c r="T60" i="43" s="1"/>
  <c r="I60" i="43"/>
  <c r="G61" i="43"/>
  <c r="F61" i="43"/>
  <c r="J59" i="43"/>
  <c r="M59" i="43" s="1"/>
  <c r="A62" i="43"/>
  <c r="R72" i="41"/>
  <c r="S72" i="41" s="1"/>
  <c r="E73" i="41"/>
  <c r="P72" i="41"/>
  <c r="Q72" i="41" s="1"/>
  <c r="F72" i="41"/>
  <c r="H72" i="41" s="1"/>
  <c r="C77" i="3"/>
  <c r="A77" i="3" s="1"/>
  <c r="I71" i="41"/>
  <c r="L71" i="41" s="1"/>
  <c r="I47" i="3"/>
  <c r="M47" i="3" s="1"/>
  <c r="F48" i="3"/>
  <c r="G48" i="3"/>
  <c r="D47" i="3"/>
  <c r="E48" i="3"/>
  <c r="K71" i="41"/>
  <c r="K77" i="3"/>
  <c r="B74" i="41"/>
  <c r="Y74" i="41" s="1"/>
  <c r="O41" i="3"/>
  <c r="U45" i="19"/>
  <c r="Q47" i="19"/>
  <c r="R46" i="19"/>
  <c r="U45" i="3"/>
  <c r="Q47" i="3"/>
  <c r="R46" i="3"/>
  <c r="C74" i="41" l="1"/>
  <c r="D74" i="41"/>
  <c r="E62" i="43"/>
  <c r="G62" i="43" s="1"/>
  <c r="D62" i="43"/>
  <c r="F62" i="43" s="1"/>
  <c r="G62" i="19"/>
  <c r="A64" i="19"/>
  <c r="G71" i="41"/>
  <c r="J71" i="41"/>
  <c r="C65" i="19"/>
  <c r="D65" i="19" s="1"/>
  <c r="W61" i="43"/>
  <c r="K65" i="19" s="1"/>
  <c r="E65" i="19"/>
  <c r="K59" i="43"/>
  <c r="I63" i="19" s="1"/>
  <c r="M63" i="19" s="1"/>
  <c r="H59" i="43"/>
  <c r="F63" i="19" s="1"/>
  <c r="C62" i="43"/>
  <c r="S61" i="43"/>
  <c r="T61" i="43" s="1"/>
  <c r="Q61" i="43"/>
  <c r="R61" i="43" s="1"/>
  <c r="I61" i="43"/>
  <c r="L60" i="43"/>
  <c r="A63" i="43"/>
  <c r="J60" i="43"/>
  <c r="M60" i="43" s="1"/>
  <c r="I72" i="41"/>
  <c r="L72" i="41" s="1"/>
  <c r="R73" i="41"/>
  <c r="S73" i="41" s="1"/>
  <c r="F73" i="41"/>
  <c r="H73" i="41" s="1"/>
  <c r="F74" i="41"/>
  <c r="P73" i="41"/>
  <c r="Q73" i="41" s="1"/>
  <c r="C78" i="3"/>
  <c r="A78" i="3" s="1"/>
  <c r="I48" i="3"/>
  <c r="M48" i="3" s="1"/>
  <c r="F49" i="3"/>
  <c r="G49" i="3"/>
  <c r="D48" i="3"/>
  <c r="E49" i="3"/>
  <c r="K72" i="41"/>
  <c r="B75" i="41"/>
  <c r="Y75" i="41" s="1"/>
  <c r="K78" i="3"/>
  <c r="O42" i="3"/>
  <c r="U46" i="19"/>
  <c r="Q48" i="19"/>
  <c r="R47" i="19"/>
  <c r="U46" i="3"/>
  <c r="Q48" i="3"/>
  <c r="R47" i="3"/>
  <c r="C75" i="41" l="1"/>
  <c r="D75" i="41"/>
  <c r="F75" i="41" s="1"/>
  <c r="E63" i="43"/>
  <c r="D63" i="43"/>
  <c r="G63" i="19"/>
  <c r="A65" i="19"/>
  <c r="G72" i="41"/>
  <c r="J72" i="41"/>
  <c r="C66" i="19"/>
  <c r="D66" i="19" s="1"/>
  <c r="K60" i="43"/>
  <c r="I64" i="19" s="1"/>
  <c r="M64" i="19" s="1"/>
  <c r="H60" i="43"/>
  <c r="F64" i="19" s="1"/>
  <c r="W62" i="43"/>
  <c r="K66" i="19" s="1"/>
  <c r="E66" i="19"/>
  <c r="J61" i="43"/>
  <c r="M61" i="43" s="1"/>
  <c r="C63" i="43"/>
  <c r="W63" i="43" s="1"/>
  <c r="K67" i="19" s="1"/>
  <c r="S62" i="43"/>
  <c r="T62" i="43" s="1"/>
  <c r="Q62" i="43"/>
  <c r="R62" i="43" s="1"/>
  <c r="I62" i="43"/>
  <c r="G63" i="43"/>
  <c r="F63" i="43"/>
  <c r="L61" i="43"/>
  <c r="A64" i="43"/>
  <c r="R74" i="41"/>
  <c r="S74" i="41" s="1"/>
  <c r="I73" i="41"/>
  <c r="L73" i="41" s="1"/>
  <c r="P74" i="41"/>
  <c r="Q74" i="41" s="1"/>
  <c r="C79" i="3"/>
  <c r="A79" i="3" s="1"/>
  <c r="I49" i="3"/>
  <c r="M49" i="3" s="1"/>
  <c r="F50" i="3"/>
  <c r="G50" i="3"/>
  <c r="D49" i="3"/>
  <c r="E50" i="3"/>
  <c r="E74" i="41"/>
  <c r="K73" i="41"/>
  <c r="B76" i="41"/>
  <c r="Y76" i="41" s="1"/>
  <c r="K79" i="3"/>
  <c r="O43" i="3"/>
  <c r="U47" i="19"/>
  <c r="Q49" i="19"/>
  <c r="R48" i="19"/>
  <c r="U47" i="3"/>
  <c r="Q49" i="3"/>
  <c r="R48" i="3"/>
  <c r="C76" i="41" l="1"/>
  <c r="P76" i="41" s="1"/>
  <c r="D76" i="41"/>
  <c r="D64" i="43"/>
  <c r="E64" i="43"/>
  <c r="G64" i="43" s="1"/>
  <c r="G73" i="41"/>
  <c r="G64" i="19"/>
  <c r="A66" i="19"/>
  <c r="J73" i="41"/>
  <c r="H61" i="43"/>
  <c r="F65" i="19" s="1"/>
  <c r="K61" i="43"/>
  <c r="I65" i="19" s="1"/>
  <c r="M65" i="19" s="1"/>
  <c r="E67" i="19"/>
  <c r="C67" i="19"/>
  <c r="D67" i="19" s="1"/>
  <c r="C64" i="43"/>
  <c r="W64" i="43" s="1"/>
  <c r="K68" i="19" s="1"/>
  <c r="S63" i="43"/>
  <c r="T63" i="43" s="1"/>
  <c r="L62" i="43"/>
  <c r="Q63" i="43"/>
  <c r="R63" i="43" s="1"/>
  <c r="J62" i="43"/>
  <c r="M62" i="43" s="1"/>
  <c r="I63" i="43"/>
  <c r="F64" i="43"/>
  <c r="A65" i="43"/>
  <c r="I74" i="41"/>
  <c r="L74" i="41" s="1"/>
  <c r="R75" i="41"/>
  <c r="S75" i="41" s="1"/>
  <c r="P75" i="41"/>
  <c r="Q75" i="41" s="1"/>
  <c r="F76" i="41"/>
  <c r="C80" i="3"/>
  <c r="A80" i="3" s="1"/>
  <c r="I50" i="3"/>
  <c r="M50" i="3" s="1"/>
  <c r="F51" i="3"/>
  <c r="G51" i="3"/>
  <c r="D50" i="3"/>
  <c r="E51" i="3"/>
  <c r="H74" i="41"/>
  <c r="K74" i="41" s="1"/>
  <c r="E75" i="41"/>
  <c r="K80" i="3"/>
  <c r="B77" i="41"/>
  <c r="Y77" i="41" s="1"/>
  <c r="O44" i="3"/>
  <c r="Q50" i="19"/>
  <c r="R49" i="19"/>
  <c r="U48" i="19"/>
  <c r="Q50" i="3"/>
  <c r="R49" i="3"/>
  <c r="U48" i="3"/>
  <c r="C77" i="41" l="1"/>
  <c r="D77" i="41"/>
  <c r="D65" i="43"/>
  <c r="E65" i="43"/>
  <c r="G65" i="19"/>
  <c r="A67" i="19"/>
  <c r="J74" i="41"/>
  <c r="K62" i="43"/>
  <c r="E68" i="19"/>
  <c r="C68" i="19"/>
  <c r="D68" i="19" s="1"/>
  <c r="H62" i="43"/>
  <c r="F66" i="19" s="1"/>
  <c r="J63" i="43"/>
  <c r="M63" i="43" s="1"/>
  <c r="C65" i="43"/>
  <c r="W65" i="43" s="1"/>
  <c r="K69" i="19" s="1"/>
  <c r="S64" i="43"/>
  <c r="T64" i="43" s="1"/>
  <c r="Q64" i="43"/>
  <c r="R64" i="43" s="1"/>
  <c r="I64" i="43"/>
  <c r="L63" i="43"/>
  <c r="G65" i="43"/>
  <c r="F65" i="43"/>
  <c r="A66" i="43"/>
  <c r="I75" i="41"/>
  <c r="L75" i="41" s="1"/>
  <c r="R76" i="41"/>
  <c r="S76" i="41" s="1"/>
  <c r="P77" i="41"/>
  <c r="Q76" i="41"/>
  <c r="F77" i="41"/>
  <c r="C81" i="3"/>
  <c r="A81" i="3" s="1"/>
  <c r="I51" i="3"/>
  <c r="M51" i="3" s="1"/>
  <c r="F52" i="3"/>
  <c r="G52" i="3"/>
  <c r="G74" i="41"/>
  <c r="D51" i="3"/>
  <c r="E52" i="3"/>
  <c r="H75" i="41"/>
  <c r="K75" i="41" s="1"/>
  <c r="E76" i="41"/>
  <c r="K81" i="3"/>
  <c r="B78" i="41"/>
  <c r="Y78" i="41" s="1"/>
  <c r="O45" i="3"/>
  <c r="U49" i="19"/>
  <c r="Q51" i="19"/>
  <c r="R50" i="19"/>
  <c r="U49" i="3"/>
  <c r="Q51" i="3"/>
  <c r="R50" i="3"/>
  <c r="C78" i="41" l="1"/>
  <c r="D78" i="41"/>
  <c r="D66" i="43"/>
  <c r="F66" i="43" s="1"/>
  <c r="E66" i="43"/>
  <c r="G66" i="43" s="1"/>
  <c r="I66" i="19"/>
  <c r="M66" i="19" s="1"/>
  <c r="G66" i="19"/>
  <c r="A68" i="19"/>
  <c r="J75" i="41"/>
  <c r="H63" i="43"/>
  <c r="F67" i="19" s="1"/>
  <c r="K63" i="43"/>
  <c r="E69" i="19"/>
  <c r="C69" i="19"/>
  <c r="D69" i="19" s="1"/>
  <c r="C66" i="43"/>
  <c r="W66" i="43" s="1"/>
  <c r="K70" i="19" s="1"/>
  <c r="J64" i="43"/>
  <c r="M64" i="43" s="1"/>
  <c r="S65" i="43"/>
  <c r="T65" i="43" s="1"/>
  <c r="L64" i="43"/>
  <c r="Q65" i="43"/>
  <c r="R65" i="43" s="1"/>
  <c r="I65" i="43"/>
  <c r="A67" i="43"/>
  <c r="I76" i="41"/>
  <c r="L76" i="41" s="1"/>
  <c r="R77" i="41"/>
  <c r="S77" i="41" s="1"/>
  <c r="P78" i="41"/>
  <c r="Q77" i="41"/>
  <c r="C82" i="3"/>
  <c r="A82" i="3" s="1"/>
  <c r="I52" i="3"/>
  <c r="M52" i="3" s="1"/>
  <c r="F53" i="3"/>
  <c r="G53" i="3"/>
  <c r="G75" i="41"/>
  <c r="D52" i="3"/>
  <c r="E53" i="3"/>
  <c r="H76" i="41"/>
  <c r="K76" i="41" s="1"/>
  <c r="E77" i="41"/>
  <c r="B79" i="41"/>
  <c r="Y79" i="41" s="1"/>
  <c r="K82" i="3"/>
  <c r="O46" i="3"/>
  <c r="U50" i="19"/>
  <c r="Q52" i="19"/>
  <c r="R51" i="19"/>
  <c r="U50" i="3"/>
  <c r="Q52" i="3"/>
  <c r="R51" i="3"/>
  <c r="C79" i="41" l="1"/>
  <c r="D79" i="41"/>
  <c r="E67" i="43"/>
  <c r="D67" i="43"/>
  <c r="I67" i="19"/>
  <c r="M67" i="19" s="1"/>
  <c r="G67" i="19"/>
  <c r="A69" i="19"/>
  <c r="J76" i="41"/>
  <c r="E70" i="19"/>
  <c r="C70" i="19"/>
  <c r="D70" i="19" s="1"/>
  <c r="K64" i="43"/>
  <c r="I68" i="19" s="1"/>
  <c r="M68" i="19" s="1"/>
  <c r="H64" i="43"/>
  <c r="F68" i="19" s="1"/>
  <c r="C67" i="43"/>
  <c r="W67" i="43" s="1"/>
  <c r="K71" i="19" s="1"/>
  <c r="J65" i="43"/>
  <c r="M65" i="43" s="1"/>
  <c r="Q66" i="43"/>
  <c r="R66" i="43" s="1"/>
  <c r="S66" i="43"/>
  <c r="T66" i="43" s="1"/>
  <c r="G67" i="43"/>
  <c r="F67" i="43"/>
  <c r="I66" i="43"/>
  <c r="L65" i="43"/>
  <c r="A68" i="43"/>
  <c r="I77" i="41"/>
  <c r="L77" i="41" s="1"/>
  <c r="F78" i="41"/>
  <c r="R78" i="41"/>
  <c r="S78" i="41" s="1"/>
  <c r="P79" i="41"/>
  <c r="Q78" i="41"/>
  <c r="C83" i="3"/>
  <c r="A83" i="3" s="1"/>
  <c r="I53" i="3"/>
  <c r="M53" i="3" s="1"/>
  <c r="F55" i="3"/>
  <c r="F54" i="3"/>
  <c r="G54" i="3"/>
  <c r="G76" i="41"/>
  <c r="E54" i="3"/>
  <c r="D53" i="3"/>
  <c r="H77" i="41"/>
  <c r="K77" i="41" s="1"/>
  <c r="E78" i="41"/>
  <c r="K83" i="3"/>
  <c r="B80" i="41"/>
  <c r="Y80" i="41" s="1"/>
  <c r="O47" i="3"/>
  <c r="U51" i="19"/>
  <c r="Q53" i="19"/>
  <c r="R52" i="19"/>
  <c r="U51" i="3"/>
  <c r="Q53" i="3"/>
  <c r="R52" i="3"/>
  <c r="D80" i="41" l="1"/>
  <c r="C80" i="41"/>
  <c r="E68" i="43"/>
  <c r="D68" i="43"/>
  <c r="G68" i="19"/>
  <c r="A70" i="19"/>
  <c r="J77" i="41"/>
  <c r="K65" i="43"/>
  <c r="I69" i="19" s="1"/>
  <c r="M69" i="19" s="1"/>
  <c r="H65" i="43"/>
  <c r="F69" i="19" s="1"/>
  <c r="E71" i="19"/>
  <c r="C71" i="19"/>
  <c r="D71" i="19" s="1"/>
  <c r="J66" i="43"/>
  <c r="M66" i="43" s="1"/>
  <c r="C68" i="43"/>
  <c r="W68" i="43" s="1"/>
  <c r="K72" i="19" s="1"/>
  <c r="S67" i="43"/>
  <c r="T67" i="43" s="1"/>
  <c r="Q67" i="43"/>
  <c r="R67" i="43" s="1"/>
  <c r="I67" i="43"/>
  <c r="L66" i="43"/>
  <c r="G68" i="43"/>
  <c r="F68" i="43"/>
  <c r="A69" i="43"/>
  <c r="I78" i="41"/>
  <c r="L78" i="41" s="1"/>
  <c r="R79" i="41"/>
  <c r="S79" i="41" s="1"/>
  <c r="F79" i="41"/>
  <c r="Q79" i="41"/>
  <c r="C84" i="3"/>
  <c r="A84" i="3" s="1"/>
  <c r="G55" i="3"/>
  <c r="D54" i="3"/>
  <c r="E55" i="3"/>
  <c r="I55" i="3"/>
  <c r="M55" i="3" s="1"/>
  <c r="I54" i="3"/>
  <c r="M54" i="3" s="1"/>
  <c r="F56" i="3"/>
  <c r="G56" i="3"/>
  <c r="G77" i="41"/>
  <c r="D55" i="3"/>
  <c r="E56" i="3"/>
  <c r="H78" i="41"/>
  <c r="E79" i="41"/>
  <c r="B81" i="41"/>
  <c r="Y81" i="41" s="1"/>
  <c r="K84" i="3"/>
  <c r="O48" i="3"/>
  <c r="U52" i="19"/>
  <c r="Q54" i="19"/>
  <c r="R53" i="19"/>
  <c r="U52" i="3"/>
  <c r="Q54" i="3"/>
  <c r="R53" i="3"/>
  <c r="D81" i="41" l="1"/>
  <c r="C81" i="41"/>
  <c r="E69" i="43"/>
  <c r="D69" i="43"/>
  <c r="G69" i="19"/>
  <c r="A71" i="19"/>
  <c r="G78" i="41"/>
  <c r="I79" i="41"/>
  <c r="L79" i="41" s="1"/>
  <c r="K66" i="43"/>
  <c r="I70" i="19" s="1"/>
  <c r="M70" i="19" s="1"/>
  <c r="H66" i="43"/>
  <c r="F70" i="19" s="1"/>
  <c r="E72" i="19"/>
  <c r="C72" i="19"/>
  <c r="D72" i="19" s="1"/>
  <c r="J67" i="43"/>
  <c r="M67" i="43" s="1"/>
  <c r="C69" i="43"/>
  <c r="W69" i="43" s="1"/>
  <c r="K73" i="19" s="1"/>
  <c r="Q68" i="43"/>
  <c r="R68" i="43" s="1"/>
  <c r="S68" i="43"/>
  <c r="T68" i="43" s="1"/>
  <c r="H79" i="41"/>
  <c r="K79" i="41" s="1"/>
  <c r="I68" i="43"/>
  <c r="G69" i="43"/>
  <c r="F69" i="43"/>
  <c r="L67" i="43"/>
  <c r="A70" i="43"/>
  <c r="F80" i="41"/>
  <c r="R80" i="41"/>
  <c r="S80" i="41" s="1"/>
  <c r="P81" i="41"/>
  <c r="P80" i="41"/>
  <c r="Q80" i="41" s="1"/>
  <c r="C85" i="3"/>
  <c r="A85" i="3" s="1"/>
  <c r="I56" i="3"/>
  <c r="M56" i="3" s="1"/>
  <c r="F57" i="3"/>
  <c r="G57" i="3"/>
  <c r="K78" i="41"/>
  <c r="J78" i="41" s="1"/>
  <c r="D56" i="3"/>
  <c r="E57" i="3"/>
  <c r="E80" i="41"/>
  <c r="B82" i="41"/>
  <c r="Y82" i="41" s="1"/>
  <c r="K85" i="3"/>
  <c r="O49" i="3"/>
  <c r="U53" i="19"/>
  <c r="Q55" i="19"/>
  <c r="R54" i="19"/>
  <c r="U53" i="3"/>
  <c r="Q55" i="3"/>
  <c r="R54" i="3"/>
  <c r="D82" i="41" l="1"/>
  <c r="C82" i="41"/>
  <c r="D70" i="43"/>
  <c r="E70" i="43"/>
  <c r="G70" i="43" s="1"/>
  <c r="G70" i="19"/>
  <c r="G79" i="41"/>
  <c r="A72" i="19"/>
  <c r="J79" i="41"/>
  <c r="H67" i="43"/>
  <c r="F71" i="19" s="1"/>
  <c r="K67" i="43"/>
  <c r="I71" i="19" s="1"/>
  <c r="M71" i="19" s="1"/>
  <c r="E73" i="19"/>
  <c r="C73" i="19"/>
  <c r="D73" i="19" s="1"/>
  <c r="J68" i="43"/>
  <c r="M68" i="43" s="1"/>
  <c r="C70" i="43"/>
  <c r="W70" i="43" s="1"/>
  <c r="K74" i="19" s="1"/>
  <c r="L68" i="43"/>
  <c r="S69" i="43"/>
  <c r="T69" i="43" s="1"/>
  <c r="Q69" i="43"/>
  <c r="R69" i="43" s="1"/>
  <c r="I69" i="43"/>
  <c r="L69" i="43" s="1"/>
  <c r="F70" i="43"/>
  <c r="A71" i="43"/>
  <c r="I80" i="41"/>
  <c r="L80" i="41" s="1"/>
  <c r="R81" i="41"/>
  <c r="S81" i="41" s="1"/>
  <c r="F81" i="41"/>
  <c r="E82" i="41"/>
  <c r="Q81" i="41"/>
  <c r="C86" i="3"/>
  <c r="A86" i="3" s="1"/>
  <c r="I57" i="3"/>
  <c r="M57" i="3" s="1"/>
  <c r="F58" i="3"/>
  <c r="G58" i="3"/>
  <c r="D57" i="3"/>
  <c r="E58" i="3"/>
  <c r="H80" i="41"/>
  <c r="E81" i="41"/>
  <c r="B83" i="41"/>
  <c r="Y83" i="41" s="1"/>
  <c r="K86" i="3"/>
  <c r="O50" i="3"/>
  <c r="U54" i="19"/>
  <c r="Q56" i="19"/>
  <c r="R55" i="19"/>
  <c r="U54" i="3"/>
  <c r="Q56" i="3"/>
  <c r="R55" i="3"/>
  <c r="C83" i="41" l="1"/>
  <c r="D83" i="41"/>
  <c r="D71" i="43"/>
  <c r="E71" i="43"/>
  <c r="G71" i="19"/>
  <c r="A73" i="19"/>
  <c r="G80" i="41"/>
  <c r="K68" i="43"/>
  <c r="H68" i="43"/>
  <c r="F72" i="19" s="1"/>
  <c r="E74" i="19"/>
  <c r="C74" i="19"/>
  <c r="C71" i="43"/>
  <c r="W71" i="43" s="1"/>
  <c r="K75" i="19" s="1"/>
  <c r="S70" i="43"/>
  <c r="T70" i="43" s="1"/>
  <c r="Q70" i="43"/>
  <c r="R70" i="43" s="1"/>
  <c r="I81" i="41"/>
  <c r="L81" i="41" s="1"/>
  <c r="I70" i="43"/>
  <c r="G71" i="43"/>
  <c r="F71" i="43"/>
  <c r="J69" i="43"/>
  <c r="M69" i="43" s="1"/>
  <c r="K69" i="43" s="1"/>
  <c r="I73" i="19" s="1"/>
  <c r="M73" i="19" s="1"/>
  <c r="A72" i="43"/>
  <c r="R82" i="41"/>
  <c r="S82" i="41" s="1"/>
  <c r="E83" i="41"/>
  <c r="F82" i="41"/>
  <c r="H82" i="41" s="1"/>
  <c r="P82" i="41"/>
  <c r="Q82" i="41" s="1"/>
  <c r="C87" i="3"/>
  <c r="A87" i="3" s="1"/>
  <c r="I58" i="3"/>
  <c r="M58" i="3" s="1"/>
  <c r="F59" i="3"/>
  <c r="G59" i="3"/>
  <c r="K80" i="41"/>
  <c r="J80" i="41" s="1"/>
  <c r="D58" i="3"/>
  <c r="E59" i="3"/>
  <c r="H81" i="41"/>
  <c r="B84" i="41"/>
  <c r="Y84" i="41" s="1"/>
  <c r="K87" i="3"/>
  <c r="O51" i="3"/>
  <c r="U55" i="19"/>
  <c r="Q57" i="19"/>
  <c r="R56" i="19"/>
  <c r="Q57" i="3"/>
  <c r="R56" i="3"/>
  <c r="U55" i="3"/>
  <c r="D84" i="41" l="1"/>
  <c r="C84" i="41"/>
  <c r="P84" i="41" s="1"/>
  <c r="D72" i="43"/>
  <c r="F72" i="43" s="1"/>
  <c r="E72" i="43"/>
  <c r="I72" i="19"/>
  <c r="M72" i="19" s="1"/>
  <c r="G72" i="19"/>
  <c r="G73" i="19"/>
  <c r="A74" i="19"/>
  <c r="H69" i="43"/>
  <c r="F73" i="19" s="1"/>
  <c r="E75" i="19"/>
  <c r="C75" i="19"/>
  <c r="D75" i="19" s="1"/>
  <c r="D74" i="19"/>
  <c r="J70" i="43"/>
  <c r="M70" i="43" s="1"/>
  <c r="C72" i="43"/>
  <c r="W72" i="43" s="1"/>
  <c r="K76" i="19" s="1"/>
  <c r="L70" i="43"/>
  <c r="S71" i="43"/>
  <c r="T71" i="43" s="1"/>
  <c r="Q71" i="43"/>
  <c r="R71" i="43" s="1"/>
  <c r="I71" i="43"/>
  <c r="G72" i="43"/>
  <c r="A73" i="43"/>
  <c r="I82" i="41"/>
  <c r="L82" i="41" s="1"/>
  <c r="R83" i="41"/>
  <c r="S83" i="41" s="1"/>
  <c r="F83" i="41"/>
  <c r="H83" i="41" s="1"/>
  <c r="K83" i="41" s="1"/>
  <c r="P83" i="41"/>
  <c r="Q83" i="41" s="1"/>
  <c r="C88" i="3"/>
  <c r="A88" i="3" s="1"/>
  <c r="I59" i="3"/>
  <c r="M59" i="3" s="1"/>
  <c r="F60" i="3"/>
  <c r="G60" i="3"/>
  <c r="D59" i="3"/>
  <c r="E60" i="3"/>
  <c r="K82" i="41"/>
  <c r="K81" i="41"/>
  <c r="J81" i="41" s="1"/>
  <c r="G81" i="41"/>
  <c r="B85" i="41"/>
  <c r="Y85" i="41" s="1"/>
  <c r="K88" i="3"/>
  <c r="O52" i="3"/>
  <c r="U56" i="19"/>
  <c r="Q58" i="19"/>
  <c r="R57" i="19"/>
  <c r="Q58" i="3"/>
  <c r="R57" i="3"/>
  <c r="U56" i="3"/>
  <c r="C85" i="41" l="1"/>
  <c r="D85" i="41"/>
  <c r="D73" i="43"/>
  <c r="E73" i="43"/>
  <c r="A75" i="19"/>
  <c r="G82" i="41"/>
  <c r="J82" i="41"/>
  <c r="K70" i="43"/>
  <c r="I74" i="19" s="1"/>
  <c r="M74" i="19" s="1"/>
  <c r="E76" i="19"/>
  <c r="C76" i="19"/>
  <c r="D76" i="19" s="1"/>
  <c r="H70" i="43"/>
  <c r="F74" i="19" s="1"/>
  <c r="C73" i="43"/>
  <c r="W73" i="43" s="1"/>
  <c r="K77" i="19" s="1"/>
  <c r="J71" i="43"/>
  <c r="M71" i="43" s="1"/>
  <c r="S72" i="43"/>
  <c r="T72" i="43" s="1"/>
  <c r="Q72" i="43"/>
  <c r="R72" i="43" s="1"/>
  <c r="I72" i="43"/>
  <c r="L71" i="43"/>
  <c r="G73" i="43"/>
  <c r="F73" i="43"/>
  <c r="A74" i="43"/>
  <c r="I83" i="41"/>
  <c r="L83" i="41" s="1"/>
  <c r="J83" i="41" s="1"/>
  <c r="R84" i="41"/>
  <c r="S84" i="41" s="1"/>
  <c r="F84" i="41"/>
  <c r="E84" i="41"/>
  <c r="P85" i="41"/>
  <c r="F85" i="41"/>
  <c r="C89" i="3"/>
  <c r="A89" i="3" s="1"/>
  <c r="H61" i="3"/>
  <c r="I60" i="3"/>
  <c r="M60" i="3" s="1"/>
  <c r="F61" i="3"/>
  <c r="G61" i="3"/>
  <c r="D60" i="3"/>
  <c r="E61" i="3"/>
  <c r="Q84" i="41"/>
  <c r="B86" i="41"/>
  <c r="Y86" i="41" s="1"/>
  <c r="K89" i="3"/>
  <c r="O53" i="3"/>
  <c r="U57" i="19"/>
  <c r="Q59" i="19"/>
  <c r="R58" i="19"/>
  <c r="U57" i="3"/>
  <c r="Q59" i="3"/>
  <c r="R58" i="3"/>
  <c r="C86" i="41" l="1"/>
  <c r="D86" i="41"/>
  <c r="E74" i="43"/>
  <c r="D74" i="43"/>
  <c r="G74" i="19"/>
  <c r="A76" i="19"/>
  <c r="G83" i="41"/>
  <c r="H84" i="41"/>
  <c r="K84" i="41" s="1"/>
  <c r="K71" i="43"/>
  <c r="H71" i="43"/>
  <c r="F75" i="19" s="1"/>
  <c r="E77" i="19"/>
  <c r="C77" i="19"/>
  <c r="J72" i="43"/>
  <c r="M72" i="43" s="1"/>
  <c r="C74" i="43"/>
  <c r="W74" i="43" s="1"/>
  <c r="K78" i="19" s="1"/>
  <c r="S73" i="43"/>
  <c r="T73" i="43" s="1"/>
  <c r="Q73" i="43"/>
  <c r="R73" i="43" s="1"/>
  <c r="I73" i="43"/>
  <c r="L72" i="43"/>
  <c r="G74" i="43"/>
  <c r="F74" i="43"/>
  <c r="A75" i="43"/>
  <c r="R85" i="41"/>
  <c r="S85" i="41" s="1"/>
  <c r="I84" i="41"/>
  <c r="L84" i="41" s="1"/>
  <c r="E86" i="41"/>
  <c r="R86" i="41"/>
  <c r="S86" i="41" s="1"/>
  <c r="C90" i="3"/>
  <c r="A90" i="3" s="1"/>
  <c r="H62" i="3"/>
  <c r="I61" i="3"/>
  <c r="M61" i="3" s="1"/>
  <c r="F62" i="3"/>
  <c r="G62" i="3"/>
  <c r="D61" i="3"/>
  <c r="E62" i="3"/>
  <c r="E85" i="41"/>
  <c r="H85" i="41" s="1"/>
  <c r="Q85" i="41"/>
  <c r="B87" i="41"/>
  <c r="Y87" i="41" s="1"/>
  <c r="K90" i="3"/>
  <c r="O54" i="3"/>
  <c r="U58" i="19"/>
  <c r="Q60" i="19"/>
  <c r="R59" i="19"/>
  <c r="U58" i="3"/>
  <c r="Q60" i="3"/>
  <c r="R59" i="3"/>
  <c r="D87" i="41" l="1"/>
  <c r="C87" i="41"/>
  <c r="D75" i="43"/>
  <c r="F75" i="43" s="1"/>
  <c r="E75" i="43"/>
  <c r="G75" i="43" s="1"/>
  <c r="I75" i="19"/>
  <c r="M75" i="19" s="1"/>
  <c r="G75" i="19"/>
  <c r="A77" i="19"/>
  <c r="J84" i="41"/>
  <c r="G84" i="41"/>
  <c r="I85" i="41"/>
  <c r="L85" i="41" s="1"/>
  <c r="H72" i="43"/>
  <c r="F76" i="19" s="1"/>
  <c r="K72" i="43"/>
  <c r="E78" i="19"/>
  <c r="C78" i="19"/>
  <c r="D78" i="19" s="1"/>
  <c r="D77" i="19"/>
  <c r="J73" i="43"/>
  <c r="M73" i="43" s="1"/>
  <c r="C75" i="43"/>
  <c r="Q74" i="43"/>
  <c r="R74" i="43" s="1"/>
  <c r="S74" i="43"/>
  <c r="T74" i="43" s="1"/>
  <c r="F86" i="41"/>
  <c r="H86" i="41" s="1"/>
  <c r="I74" i="43"/>
  <c r="L73" i="43"/>
  <c r="A76" i="43"/>
  <c r="E87" i="41"/>
  <c r="P86" i="41"/>
  <c r="Q86" i="41" s="1"/>
  <c r="I86" i="41" s="1"/>
  <c r="F87" i="41"/>
  <c r="C91" i="3"/>
  <c r="A91" i="3" s="1"/>
  <c r="H63" i="3"/>
  <c r="I62" i="3"/>
  <c r="M62" i="3" s="1"/>
  <c r="F63" i="3"/>
  <c r="G63" i="3"/>
  <c r="D62" i="3"/>
  <c r="E63" i="3"/>
  <c r="K85" i="41"/>
  <c r="B88" i="41"/>
  <c r="Y88" i="41" s="1"/>
  <c r="K91" i="3"/>
  <c r="O55" i="3"/>
  <c r="U59" i="19"/>
  <c r="Q61" i="19"/>
  <c r="R60" i="19"/>
  <c r="U59" i="3"/>
  <c r="Q61" i="3"/>
  <c r="R60" i="3"/>
  <c r="D88" i="41" l="1"/>
  <c r="C88" i="41"/>
  <c r="E76" i="43"/>
  <c r="G76" i="43" s="1"/>
  <c r="D76" i="43"/>
  <c r="F76" i="43" s="1"/>
  <c r="G85" i="41"/>
  <c r="I76" i="19"/>
  <c r="M76" i="19" s="1"/>
  <c r="G76" i="19"/>
  <c r="A78" i="19"/>
  <c r="L86" i="41"/>
  <c r="H73" i="43"/>
  <c r="F77" i="19" s="1"/>
  <c r="K73" i="43"/>
  <c r="I77" i="19" s="1"/>
  <c r="M77" i="19" s="1"/>
  <c r="C79" i="19"/>
  <c r="D79" i="19" s="1"/>
  <c r="W75" i="43"/>
  <c r="K79" i="19" s="1"/>
  <c r="E79" i="19"/>
  <c r="J74" i="43"/>
  <c r="M74" i="43" s="1"/>
  <c r="C76" i="43"/>
  <c r="W76" i="43" s="1"/>
  <c r="K80" i="19" s="1"/>
  <c r="L74" i="43"/>
  <c r="Q75" i="43"/>
  <c r="R75" i="43" s="1"/>
  <c r="S75" i="43"/>
  <c r="T75" i="43" s="1"/>
  <c r="I75" i="43"/>
  <c r="A77" i="43"/>
  <c r="R87" i="41"/>
  <c r="S87" i="41" s="1"/>
  <c r="P88" i="41"/>
  <c r="R88" i="41"/>
  <c r="S88" i="41" s="1"/>
  <c r="P87" i="41"/>
  <c r="Q87" i="41" s="1"/>
  <c r="H87" i="41"/>
  <c r="C92" i="3"/>
  <c r="A92" i="3" s="1"/>
  <c r="K86" i="41"/>
  <c r="G86" i="41"/>
  <c r="H64" i="3"/>
  <c r="I63" i="3"/>
  <c r="M63" i="3" s="1"/>
  <c r="F64" i="3"/>
  <c r="G64" i="3"/>
  <c r="D63" i="3"/>
  <c r="E64" i="3"/>
  <c r="J85" i="41"/>
  <c r="B89" i="41"/>
  <c r="Y89" i="41" s="1"/>
  <c r="K92" i="3"/>
  <c r="O56" i="3"/>
  <c r="U60" i="19"/>
  <c r="Q62" i="19"/>
  <c r="R61" i="19"/>
  <c r="U60" i="3"/>
  <c r="Q62" i="3"/>
  <c r="R61" i="3"/>
  <c r="C89" i="41" l="1"/>
  <c r="D89" i="41"/>
  <c r="D77" i="43"/>
  <c r="F77" i="43" s="1"/>
  <c r="E77" i="43"/>
  <c r="G77" i="19"/>
  <c r="F88" i="41"/>
  <c r="A79" i="19"/>
  <c r="J86" i="41"/>
  <c r="I87" i="41"/>
  <c r="L87" i="41" s="1"/>
  <c r="K74" i="43"/>
  <c r="I78" i="19" s="1"/>
  <c r="M78" i="19" s="1"/>
  <c r="H74" i="43"/>
  <c r="F78" i="19" s="1"/>
  <c r="E80" i="19"/>
  <c r="C80" i="19"/>
  <c r="D80" i="19" s="1"/>
  <c r="J75" i="43"/>
  <c r="M75" i="43" s="1"/>
  <c r="C77" i="43"/>
  <c r="W77" i="43" s="1"/>
  <c r="K81" i="19" s="1"/>
  <c r="Q76" i="43"/>
  <c r="R76" i="43" s="1"/>
  <c r="L75" i="43"/>
  <c r="S76" i="43"/>
  <c r="T76" i="43" s="1"/>
  <c r="I76" i="43"/>
  <c r="G77" i="43"/>
  <c r="A78" i="43"/>
  <c r="E89" i="41"/>
  <c r="R89" i="41"/>
  <c r="S89" i="41" s="1"/>
  <c r="Q88" i="41"/>
  <c r="I88" i="41" s="1"/>
  <c r="E88" i="41"/>
  <c r="C93" i="3"/>
  <c r="A93" i="3" s="1"/>
  <c r="K87" i="41"/>
  <c r="H65" i="3"/>
  <c r="I64" i="3"/>
  <c r="M64" i="3" s="1"/>
  <c r="F65" i="3"/>
  <c r="G65" i="3"/>
  <c r="D64" i="3"/>
  <c r="E65" i="3"/>
  <c r="B90" i="41"/>
  <c r="Y90" i="41" s="1"/>
  <c r="K93" i="3"/>
  <c r="O57" i="3"/>
  <c r="U61" i="19"/>
  <c r="Q63" i="19"/>
  <c r="R62" i="19"/>
  <c r="U61" i="3"/>
  <c r="Q63" i="3"/>
  <c r="R62" i="3"/>
  <c r="C90" i="41" l="1"/>
  <c r="D90" i="41"/>
  <c r="D78" i="43"/>
  <c r="F78" i="43" s="1"/>
  <c r="E78" i="43"/>
  <c r="G78" i="43" s="1"/>
  <c r="H88" i="41"/>
  <c r="G88" i="41" s="1"/>
  <c r="J87" i="41"/>
  <c r="G87" i="41"/>
  <c r="G78" i="19"/>
  <c r="A80" i="19"/>
  <c r="F89" i="41"/>
  <c r="H89" i="41" s="1"/>
  <c r="L88" i="41"/>
  <c r="K75" i="43"/>
  <c r="I79" i="19" s="1"/>
  <c r="M79" i="19" s="1"/>
  <c r="E81" i="19"/>
  <c r="C81" i="19"/>
  <c r="D81" i="19" s="1"/>
  <c r="H75" i="43"/>
  <c r="F79" i="19" s="1"/>
  <c r="C78" i="43"/>
  <c r="W78" i="43" s="1"/>
  <c r="K82" i="19" s="1"/>
  <c r="J76" i="43"/>
  <c r="M76" i="43" s="1"/>
  <c r="S77" i="43"/>
  <c r="T77" i="43" s="1"/>
  <c r="Q77" i="43"/>
  <c r="R77" i="43" s="1"/>
  <c r="I77" i="43"/>
  <c r="L76" i="43"/>
  <c r="A79" i="43"/>
  <c r="E90" i="41"/>
  <c r="R90" i="41"/>
  <c r="S90" i="41" s="1"/>
  <c r="P89" i="41"/>
  <c r="Q89" i="41" s="1"/>
  <c r="I89" i="41" s="1"/>
  <c r="C94" i="3"/>
  <c r="A94" i="3" s="1"/>
  <c r="H66" i="3"/>
  <c r="I65" i="3"/>
  <c r="M65" i="3" s="1"/>
  <c r="F66" i="3"/>
  <c r="G66" i="3"/>
  <c r="D65" i="3"/>
  <c r="E66" i="3"/>
  <c r="B91" i="41"/>
  <c r="Y91" i="41" s="1"/>
  <c r="K94" i="3"/>
  <c r="O58" i="3"/>
  <c r="U62" i="19"/>
  <c r="Q64" i="19"/>
  <c r="R63" i="19"/>
  <c r="U62" i="3"/>
  <c r="Q64" i="3"/>
  <c r="R63" i="3"/>
  <c r="D91" i="41" l="1"/>
  <c r="C91" i="41"/>
  <c r="D79" i="43"/>
  <c r="E79" i="43"/>
  <c r="K88" i="41"/>
  <c r="J88" i="41" s="1"/>
  <c r="G79" i="19"/>
  <c r="A81" i="19"/>
  <c r="L89" i="41"/>
  <c r="F90" i="41"/>
  <c r="H90" i="41" s="1"/>
  <c r="P90" i="41"/>
  <c r="Q90" i="41" s="1"/>
  <c r="I90" i="41" s="1"/>
  <c r="E82" i="19"/>
  <c r="C82" i="19"/>
  <c r="D82" i="19" s="1"/>
  <c r="H76" i="43"/>
  <c r="F80" i="19" s="1"/>
  <c r="K76" i="43"/>
  <c r="I80" i="19" s="1"/>
  <c r="M80" i="19" s="1"/>
  <c r="J77" i="43"/>
  <c r="M77" i="43" s="1"/>
  <c r="C79" i="43"/>
  <c r="W79" i="43" s="1"/>
  <c r="K83" i="19" s="1"/>
  <c r="S78" i="43"/>
  <c r="T78" i="43" s="1"/>
  <c r="Q78" i="43"/>
  <c r="R78" i="43" s="1"/>
  <c r="G79" i="43"/>
  <c r="F79" i="43"/>
  <c r="I78" i="43"/>
  <c r="L77" i="43"/>
  <c r="A80" i="43"/>
  <c r="P91" i="41"/>
  <c r="R91" i="41"/>
  <c r="S91" i="41" s="1"/>
  <c r="C95" i="3"/>
  <c r="A95" i="3" s="1"/>
  <c r="K89" i="41"/>
  <c r="G89" i="41"/>
  <c r="H67" i="3"/>
  <c r="I66" i="3"/>
  <c r="M66" i="3" s="1"/>
  <c r="D67" i="3"/>
  <c r="F67" i="3"/>
  <c r="G67" i="3"/>
  <c r="E67" i="3"/>
  <c r="D66" i="3"/>
  <c r="B92" i="41"/>
  <c r="Y92" i="41" s="1"/>
  <c r="K95" i="3"/>
  <c r="O59" i="3"/>
  <c r="U63" i="19"/>
  <c r="Q65" i="19"/>
  <c r="R64" i="19"/>
  <c r="U63" i="3"/>
  <c r="Q65" i="3"/>
  <c r="R64" i="3"/>
  <c r="C92" i="41" l="1"/>
  <c r="D92" i="41"/>
  <c r="E80" i="43"/>
  <c r="D80" i="43"/>
  <c r="J89" i="41"/>
  <c r="G80" i="19"/>
  <c r="L90" i="41"/>
  <c r="A82" i="19"/>
  <c r="E83" i="19"/>
  <c r="C83" i="19"/>
  <c r="D83" i="19" s="1"/>
  <c r="H77" i="43"/>
  <c r="F81" i="19" s="1"/>
  <c r="F83" i="19" s="1"/>
  <c r="K77" i="43"/>
  <c r="I81" i="19" s="1"/>
  <c r="M81" i="19" s="1"/>
  <c r="C80" i="43"/>
  <c r="W80" i="43" s="1"/>
  <c r="K84" i="19" s="1"/>
  <c r="S79" i="43"/>
  <c r="T79" i="43" s="1"/>
  <c r="Q79" i="43"/>
  <c r="R79" i="43" s="1"/>
  <c r="G80" i="43"/>
  <c r="F80" i="43"/>
  <c r="I79" i="43"/>
  <c r="L78" i="43"/>
  <c r="J78" i="43"/>
  <c r="M78" i="43" s="1"/>
  <c r="A81" i="43"/>
  <c r="F91" i="41"/>
  <c r="P92" i="41"/>
  <c r="Q92" i="41" s="1"/>
  <c r="R92" i="41"/>
  <c r="S92" i="41" s="1"/>
  <c r="C96" i="3"/>
  <c r="A96" i="3" s="1"/>
  <c r="Q91" i="41"/>
  <c r="I91" i="41" s="1"/>
  <c r="E91" i="41"/>
  <c r="K90" i="41"/>
  <c r="G90" i="41"/>
  <c r="H69" i="3"/>
  <c r="I68" i="3"/>
  <c r="M68" i="3" s="1"/>
  <c r="H68" i="3"/>
  <c r="I67" i="3"/>
  <c r="M67" i="3" s="1"/>
  <c r="E68" i="3"/>
  <c r="F68" i="3"/>
  <c r="G68" i="3"/>
  <c r="F69" i="3"/>
  <c r="G69" i="3"/>
  <c r="D68" i="3"/>
  <c r="E69" i="3"/>
  <c r="B93" i="41"/>
  <c r="Y93" i="41" s="1"/>
  <c r="K96" i="3"/>
  <c r="O60" i="3"/>
  <c r="U64" i="19"/>
  <c r="Q66" i="19"/>
  <c r="R65" i="19"/>
  <c r="Q66" i="3"/>
  <c r="R65" i="3"/>
  <c r="U64" i="3"/>
  <c r="C93" i="41" l="1"/>
  <c r="D93" i="41"/>
  <c r="E81" i="43"/>
  <c r="G81" i="43" s="1"/>
  <c r="D81" i="43"/>
  <c r="J90" i="41"/>
  <c r="G81" i="19"/>
  <c r="G83" i="19" s="1"/>
  <c r="A83" i="19"/>
  <c r="E92" i="41"/>
  <c r="J79" i="43"/>
  <c r="M79" i="43" s="1"/>
  <c r="E84" i="19"/>
  <c r="C84" i="19"/>
  <c r="D84" i="19" s="1"/>
  <c r="K78" i="43"/>
  <c r="I82" i="19" s="1"/>
  <c r="M82" i="19" s="1"/>
  <c r="H78" i="43"/>
  <c r="F82" i="19" s="1"/>
  <c r="F84" i="19" s="1"/>
  <c r="C81" i="43"/>
  <c r="W81" i="43" s="1"/>
  <c r="K85" i="19" s="1"/>
  <c r="S80" i="43"/>
  <c r="T80" i="43" s="1"/>
  <c r="Q80" i="43"/>
  <c r="R80" i="43" s="1"/>
  <c r="F92" i="41"/>
  <c r="I80" i="43"/>
  <c r="L80" i="43" s="1"/>
  <c r="F81" i="43"/>
  <c r="F85" i="19" s="1"/>
  <c r="L79" i="43"/>
  <c r="K79" i="43" s="1"/>
  <c r="I83" i="19" s="1"/>
  <c r="M83" i="19" s="1"/>
  <c r="H79" i="43"/>
  <c r="A82" i="43"/>
  <c r="P93" i="41"/>
  <c r="Q93" i="41" s="1"/>
  <c r="R93" i="41"/>
  <c r="S93" i="41" s="1"/>
  <c r="I92" i="41"/>
  <c r="C97" i="3"/>
  <c r="A97" i="3" s="1"/>
  <c r="H91" i="41"/>
  <c r="L91" i="41"/>
  <c r="H70" i="3"/>
  <c r="I69" i="3"/>
  <c r="M69" i="3" s="1"/>
  <c r="F70" i="3"/>
  <c r="G70" i="3"/>
  <c r="D69" i="3"/>
  <c r="E70" i="3"/>
  <c r="B94" i="41"/>
  <c r="Y94" i="41" s="1"/>
  <c r="K97" i="3"/>
  <c r="O61" i="3"/>
  <c r="U65" i="19"/>
  <c r="Q67" i="19"/>
  <c r="R66" i="19"/>
  <c r="U65" i="3"/>
  <c r="Q67" i="3"/>
  <c r="R66" i="3"/>
  <c r="C94" i="41" l="1"/>
  <c r="P94" i="41" s="1"/>
  <c r="D94" i="41"/>
  <c r="E82" i="43"/>
  <c r="D82" i="43"/>
  <c r="G85" i="19"/>
  <c r="G82" i="19"/>
  <c r="G84" i="19" s="1"/>
  <c r="A84" i="19"/>
  <c r="H92" i="41"/>
  <c r="K92" i="41" s="1"/>
  <c r="L92" i="41"/>
  <c r="E85" i="19"/>
  <c r="J80" i="43"/>
  <c r="M80" i="43" s="1"/>
  <c r="K80" i="43" s="1"/>
  <c r="I84" i="19" s="1"/>
  <c r="M84" i="19" s="1"/>
  <c r="C85" i="19"/>
  <c r="D85" i="19" s="1"/>
  <c r="C82" i="43"/>
  <c r="W82" i="43" s="1"/>
  <c r="K86" i="19" s="1"/>
  <c r="S81" i="43"/>
  <c r="T81" i="43" s="1"/>
  <c r="Q81" i="43"/>
  <c r="R81" i="43" s="1"/>
  <c r="E93" i="41"/>
  <c r="F93" i="41"/>
  <c r="I81" i="43"/>
  <c r="L81" i="43" s="1"/>
  <c r="G82" i="43"/>
  <c r="F82" i="43"/>
  <c r="F86" i="19" s="1"/>
  <c r="A83" i="43"/>
  <c r="R94" i="41"/>
  <c r="I93" i="41"/>
  <c r="C98" i="3"/>
  <c r="K91" i="41"/>
  <c r="G91" i="41"/>
  <c r="H71" i="3"/>
  <c r="I70" i="3"/>
  <c r="M70" i="3" s="1"/>
  <c r="F71" i="3"/>
  <c r="G71" i="3"/>
  <c r="D70" i="3"/>
  <c r="E71" i="3"/>
  <c r="B95" i="41"/>
  <c r="Y95" i="41" s="1"/>
  <c r="K98" i="3"/>
  <c r="O62" i="3"/>
  <c r="U66" i="19"/>
  <c r="Q68" i="19"/>
  <c r="R67" i="19"/>
  <c r="U66" i="3"/>
  <c r="Q68" i="3"/>
  <c r="R67" i="3"/>
  <c r="C95" i="41" l="1"/>
  <c r="D95" i="41"/>
  <c r="E83" i="43"/>
  <c r="G83" i="43" s="1"/>
  <c r="G87" i="19" s="1"/>
  <c r="D83" i="43"/>
  <c r="F83" i="43" s="1"/>
  <c r="F87" i="19" s="1"/>
  <c r="H80" i="43"/>
  <c r="G92" i="41"/>
  <c r="G86" i="19"/>
  <c r="A85" i="19"/>
  <c r="J92" i="41"/>
  <c r="C99" i="3"/>
  <c r="A98" i="3"/>
  <c r="L93" i="41"/>
  <c r="H93" i="41"/>
  <c r="K93" i="41" s="1"/>
  <c r="F94" i="41"/>
  <c r="E86" i="19"/>
  <c r="J81" i="43"/>
  <c r="M81" i="43" s="1"/>
  <c r="K81" i="43" s="1"/>
  <c r="I85" i="19" s="1"/>
  <c r="M85" i="19" s="1"/>
  <c r="C86" i="19"/>
  <c r="C83" i="43"/>
  <c r="W83" i="43" s="1"/>
  <c r="K87" i="19" s="1"/>
  <c r="Q82" i="43"/>
  <c r="R82" i="43" s="1"/>
  <c r="S82" i="43"/>
  <c r="T82" i="43" s="1"/>
  <c r="I82" i="43"/>
  <c r="L82" i="43" s="1"/>
  <c r="A84" i="43"/>
  <c r="P95" i="41"/>
  <c r="Q95" i="41" s="1"/>
  <c r="R95" i="41"/>
  <c r="S95" i="41" s="1"/>
  <c r="S94" i="41"/>
  <c r="E94" i="41"/>
  <c r="Q94" i="41"/>
  <c r="J91" i="41"/>
  <c r="H72" i="3"/>
  <c r="I71" i="3"/>
  <c r="M71" i="3" s="1"/>
  <c r="F72" i="3"/>
  <c r="G72" i="3"/>
  <c r="D71" i="3"/>
  <c r="E72" i="3"/>
  <c r="B96" i="41"/>
  <c r="Y96" i="41" s="1"/>
  <c r="K99" i="3"/>
  <c r="O63" i="3"/>
  <c r="U67" i="19"/>
  <c r="Q69" i="19"/>
  <c r="R68" i="19"/>
  <c r="Q69" i="3"/>
  <c r="R68" i="3"/>
  <c r="U67" i="3"/>
  <c r="C96" i="41" l="1"/>
  <c r="D96" i="41"/>
  <c r="D84" i="43"/>
  <c r="F84" i="43" s="1"/>
  <c r="F88" i="19" s="1"/>
  <c r="E84" i="43"/>
  <c r="G84" i="43" s="1"/>
  <c r="G88" i="19" s="1"/>
  <c r="G93" i="41"/>
  <c r="E95" i="41"/>
  <c r="I95" i="41"/>
  <c r="F95" i="41"/>
  <c r="H95" i="41" s="1"/>
  <c r="K95" i="41" s="1"/>
  <c r="J93" i="41"/>
  <c r="A86" i="19"/>
  <c r="C100" i="3"/>
  <c r="A99" i="3"/>
  <c r="H81" i="43"/>
  <c r="H94" i="41"/>
  <c r="K94" i="41" s="1"/>
  <c r="E87" i="19"/>
  <c r="C87" i="19"/>
  <c r="D87" i="19" s="1"/>
  <c r="D86" i="19"/>
  <c r="J82" i="43"/>
  <c r="M82" i="43" s="1"/>
  <c r="K82" i="43" s="1"/>
  <c r="I86" i="19" s="1"/>
  <c r="M86" i="19" s="1"/>
  <c r="C84" i="43"/>
  <c r="W84" i="43" s="1"/>
  <c r="K88" i="19" s="1"/>
  <c r="I83" i="43"/>
  <c r="Q83" i="43"/>
  <c r="R83" i="43" s="1"/>
  <c r="S83" i="43"/>
  <c r="T83" i="43" s="1"/>
  <c r="I94" i="41"/>
  <c r="L94" i="41" s="1"/>
  <c r="A85" i="43"/>
  <c r="P96" i="41"/>
  <c r="Q96" i="41" s="1"/>
  <c r="F96" i="41"/>
  <c r="H73" i="3"/>
  <c r="I72" i="3"/>
  <c r="M72" i="3" s="1"/>
  <c r="F73" i="3"/>
  <c r="G73" i="3"/>
  <c r="D72" i="3"/>
  <c r="E73" i="3"/>
  <c r="B97" i="41"/>
  <c r="Y97" i="41" s="1"/>
  <c r="K100" i="3"/>
  <c r="O64" i="3"/>
  <c r="U68" i="19"/>
  <c r="Q70" i="19"/>
  <c r="R69" i="19"/>
  <c r="U68" i="3"/>
  <c r="Q70" i="3"/>
  <c r="R69" i="3"/>
  <c r="C97" i="41" l="1"/>
  <c r="D97" i="41"/>
  <c r="E85" i="43"/>
  <c r="G85" i="43" s="1"/>
  <c r="G89" i="19" s="1"/>
  <c r="D85" i="43"/>
  <c r="F85" i="43" s="1"/>
  <c r="F89" i="19" s="1"/>
  <c r="G95" i="41"/>
  <c r="L95" i="41"/>
  <c r="J95" i="41" s="1"/>
  <c r="E96" i="41"/>
  <c r="H96" i="41" s="1"/>
  <c r="K96" i="41" s="1"/>
  <c r="A87" i="19"/>
  <c r="R96" i="41"/>
  <c r="S96" i="41" s="1"/>
  <c r="I96" i="41" s="1"/>
  <c r="C101" i="3"/>
  <c r="A100" i="3"/>
  <c r="G94" i="41"/>
  <c r="J94" i="41"/>
  <c r="H82" i="43"/>
  <c r="E88" i="19"/>
  <c r="C88" i="19"/>
  <c r="D88" i="19" s="1"/>
  <c r="J83" i="43"/>
  <c r="M83" i="43" s="1"/>
  <c r="L83" i="43"/>
  <c r="C85" i="43"/>
  <c r="W85" i="43" s="1"/>
  <c r="K89" i="19" s="1"/>
  <c r="Q84" i="43"/>
  <c r="R84" i="43" s="1"/>
  <c r="S84" i="43"/>
  <c r="T84" i="43" s="1"/>
  <c r="I84" i="43"/>
  <c r="A86" i="43"/>
  <c r="P97" i="41"/>
  <c r="Q97" i="41" s="1"/>
  <c r="F97" i="41"/>
  <c r="H74" i="3"/>
  <c r="I73" i="3"/>
  <c r="M73" i="3" s="1"/>
  <c r="F74" i="3"/>
  <c r="G74" i="3"/>
  <c r="D73" i="3"/>
  <c r="E74" i="3"/>
  <c r="B98" i="41"/>
  <c r="Y98" i="41" s="1"/>
  <c r="K101" i="3"/>
  <c r="O65" i="3"/>
  <c r="U69" i="19"/>
  <c r="Q71" i="19"/>
  <c r="R70" i="19"/>
  <c r="U69" i="3"/>
  <c r="Q71" i="3"/>
  <c r="R70" i="3"/>
  <c r="D98" i="41" l="1"/>
  <c r="C98" i="41"/>
  <c r="E86" i="43"/>
  <c r="G86" i="43" s="1"/>
  <c r="G90" i="19" s="1"/>
  <c r="D86" i="43"/>
  <c r="F86" i="43" s="1"/>
  <c r="F90" i="19" s="1"/>
  <c r="A88" i="19"/>
  <c r="G96" i="41"/>
  <c r="L96" i="41"/>
  <c r="J96" i="41" s="1"/>
  <c r="R97" i="41"/>
  <c r="S97" i="41" s="1"/>
  <c r="I97" i="41" s="1"/>
  <c r="E97" i="41"/>
  <c r="C102" i="3"/>
  <c r="A101" i="3"/>
  <c r="K83" i="43"/>
  <c r="I87" i="19" s="1"/>
  <c r="M87" i="19" s="1"/>
  <c r="E89" i="19"/>
  <c r="J84" i="43"/>
  <c r="M84" i="43" s="1"/>
  <c r="C89" i="19"/>
  <c r="H83" i="43"/>
  <c r="C86" i="43"/>
  <c r="W86" i="43" s="1"/>
  <c r="K90" i="19" s="1"/>
  <c r="S85" i="43"/>
  <c r="T85" i="43" s="1"/>
  <c r="Q85" i="43"/>
  <c r="R85" i="43" s="1"/>
  <c r="I85" i="43"/>
  <c r="L84" i="43"/>
  <c r="A87" i="43"/>
  <c r="P98" i="41"/>
  <c r="Q98" i="41" s="1"/>
  <c r="R98" i="41"/>
  <c r="S98" i="41" s="1"/>
  <c r="H75" i="3"/>
  <c r="I74" i="3"/>
  <c r="M74" i="3" s="1"/>
  <c r="F75" i="3"/>
  <c r="G75" i="3"/>
  <c r="D74" i="3"/>
  <c r="E75" i="3"/>
  <c r="B99" i="41"/>
  <c r="Y99" i="41" s="1"/>
  <c r="K102" i="3"/>
  <c r="O66" i="3"/>
  <c r="U70" i="19"/>
  <c r="Q72" i="19"/>
  <c r="R71" i="19"/>
  <c r="U70" i="3"/>
  <c r="Q72" i="3"/>
  <c r="R71" i="3"/>
  <c r="C99" i="41" l="1"/>
  <c r="D99" i="41"/>
  <c r="D87" i="43"/>
  <c r="F87" i="43" s="1"/>
  <c r="F91" i="19" s="1"/>
  <c r="E87" i="43"/>
  <c r="F98" i="41"/>
  <c r="H84" i="43"/>
  <c r="A89" i="19"/>
  <c r="I98" i="41"/>
  <c r="E98" i="41"/>
  <c r="L97" i="41"/>
  <c r="H97" i="41"/>
  <c r="K97" i="41" s="1"/>
  <c r="C103" i="3"/>
  <c r="A102" i="3"/>
  <c r="K84" i="43"/>
  <c r="I88" i="19" s="1"/>
  <c r="M88" i="19" s="1"/>
  <c r="E90" i="19"/>
  <c r="J85" i="43"/>
  <c r="M85" i="43" s="1"/>
  <c r="C90" i="19"/>
  <c r="D90" i="19" s="1"/>
  <c r="D89" i="19"/>
  <c r="C87" i="43"/>
  <c r="W87" i="43" s="1"/>
  <c r="K91" i="19" s="1"/>
  <c r="Q86" i="43"/>
  <c r="R86" i="43" s="1"/>
  <c r="S86" i="43"/>
  <c r="T86" i="43" s="1"/>
  <c r="I86" i="43"/>
  <c r="L85" i="43"/>
  <c r="A88" i="43"/>
  <c r="P99" i="41"/>
  <c r="Q99" i="41" s="1"/>
  <c r="F99" i="41"/>
  <c r="H76" i="3"/>
  <c r="I75" i="3"/>
  <c r="M75" i="3" s="1"/>
  <c r="F76" i="3"/>
  <c r="G76" i="3"/>
  <c r="D75" i="3"/>
  <c r="E76" i="3"/>
  <c r="B100" i="41"/>
  <c r="Y100" i="41" s="1"/>
  <c r="K103" i="3"/>
  <c r="O67" i="3"/>
  <c r="U71" i="19"/>
  <c r="Q73" i="19"/>
  <c r="R72" i="19"/>
  <c r="U71" i="3"/>
  <c r="Q73" i="3"/>
  <c r="R72" i="3"/>
  <c r="D100" i="41" l="1"/>
  <c r="C100" i="41"/>
  <c r="D88" i="43"/>
  <c r="F88" i="43" s="1"/>
  <c r="F92" i="19" s="1"/>
  <c r="E88" i="43"/>
  <c r="G88" i="43" s="1"/>
  <c r="G92" i="19" s="1"/>
  <c r="H85" i="43"/>
  <c r="G97" i="41"/>
  <c r="J97" i="41"/>
  <c r="A90" i="19"/>
  <c r="R99" i="41"/>
  <c r="S99" i="41" s="1"/>
  <c r="I99" i="41" s="1"/>
  <c r="E99" i="41"/>
  <c r="H98" i="41"/>
  <c r="K98" i="41" s="1"/>
  <c r="L98" i="41"/>
  <c r="C104" i="3"/>
  <c r="A103" i="3"/>
  <c r="C91" i="19"/>
  <c r="D91" i="19" s="1"/>
  <c r="G87" i="43"/>
  <c r="E91" i="19"/>
  <c r="J86" i="43"/>
  <c r="M86" i="43" s="1"/>
  <c r="C88" i="43"/>
  <c r="Q87" i="43"/>
  <c r="R87" i="43" s="1"/>
  <c r="S87" i="43"/>
  <c r="T87" i="43" s="1"/>
  <c r="L86" i="43"/>
  <c r="K85" i="43"/>
  <c r="I89" i="19" s="1"/>
  <c r="M89" i="19" s="1"/>
  <c r="A89" i="43"/>
  <c r="P100" i="41"/>
  <c r="Q100" i="41" s="1"/>
  <c r="F100" i="41"/>
  <c r="H77" i="3"/>
  <c r="I76" i="3"/>
  <c r="M76" i="3" s="1"/>
  <c r="F77" i="3"/>
  <c r="G77" i="3"/>
  <c r="D76" i="3"/>
  <c r="E77" i="3"/>
  <c r="B101" i="41"/>
  <c r="Y101" i="41" s="1"/>
  <c r="K104" i="3"/>
  <c r="O69" i="3"/>
  <c r="U72" i="19"/>
  <c r="Q74" i="19"/>
  <c r="R73" i="19"/>
  <c r="Q74" i="3"/>
  <c r="R73" i="3"/>
  <c r="U72" i="3"/>
  <c r="C101" i="41" l="1"/>
  <c r="D101" i="41"/>
  <c r="E89" i="43"/>
  <c r="D89" i="43"/>
  <c r="F89" i="43" s="1"/>
  <c r="F93" i="19" s="1"/>
  <c r="R100" i="41"/>
  <c r="S100" i="41" s="1"/>
  <c r="I100" i="41" s="1"/>
  <c r="G98" i="41"/>
  <c r="J98" i="41"/>
  <c r="A91" i="19"/>
  <c r="E100" i="41"/>
  <c r="H99" i="41"/>
  <c r="K99" i="41" s="1"/>
  <c r="L99" i="41"/>
  <c r="C105" i="3"/>
  <c r="A104" i="3"/>
  <c r="K86" i="43"/>
  <c r="I90" i="19" s="1"/>
  <c r="M90" i="19" s="1"/>
  <c r="H86" i="43"/>
  <c r="I87" i="43"/>
  <c r="L87" i="43" s="1"/>
  <c r="G91" i="19"/>
  <c r="C92" i="19"/>
  <c r="D92" i="19" s="1"/>
  <c r="W88" i="43"/>
  <c r="K92" i="19" s="1"/>
  <c r="E92" i="19"/>
  <c r="J87" i="43"/>
  <c r="M87" i="43" s="1"/>
  <c r="C89" i="43"/>
  <c r="W89" i="43" s="1"/>
  <c r="K93" i="19" s="1"/>
  <c r="S88" i="43"/>
  <c r="T88" i="43" s="1"/>
  <c r="Q88" i="43"/>
  <c r="R88" i="43" s="1"/>
  <c r="I88" i="43"/>
  <c r="L88" i="43" s="1"/>
  <c r="G89" i="43"/>
  <c r="A90" i="43"/>
  <c r="P101" i="41"/>
  <c r="Q101" i="41" s="1"/>
  <c r="R101" i="41"/>
  <c r="S101" i="41" s="1"/>
  <c r="H78" i="3"/>
  <c r="I77" i="3"/>
  <c r="M77" i="3" s="1"/>
  <c r="F78" i="3"/>
  <c r="G78" i="3"/>
  <c r="D77" i="3"/>
  <c r="E78" i="3"/>
  <c r="B102" i="41"/>
  <c r="Y102" i="41" s="1"/>
  <c r="K105" i="3"/>
  <c r="F101" i="41"/>
  <c r="O68" i="3"/>
  <c r="U73" i="19"/>
  <c r="Q75" i="19"/>
  <c r="R74" i="19"/>
  <c r="U73" i="3"/>
  <c r="Q75" i="3"/>
  <c r="R74" i="3"/>
  <c r="C102" i="41" l="1"/>
  <c r="D102" i="41"/>
  <c r="E90" i="43"/>
  <c r="G90" i="43" s="1"/>
  <c r="G94" i="19" s="1"/>
  <c r="D90" i="43"/>
  <c r="F90" i="43" s="1"/>
  <c r="F94" i="19" s="1"/>
  <c r="E101" i="41"/>
  <c r="L101" i="41" s="1"/>
  <c r="I101" i="41"/>
  <c r="G99" i="41"/>
  <c r="H101" i="41"/>
  <c r="K101" i="41" s="1"/>
  <c r="J99" i="41"/>
  <c r="A92" i="19"/>
  <c r="H100" i="41"/>
  <c r="K100" i="41" s="1"/>
  <c r="L100" i="41"/>
  <c r="C106" i="3"/>
  <c r="A105" i="3"/>
  <c r="K87" i="43"/>
  <c r="I91" i="19" s="1"/>
  <c r="M91" i="19" s="1"/>
  <c r="H87" i="43"/>
  <c r="G93" i="19"/>
  <c r="C93" i="19"/>
  <c r="D93" i="19" s="1"/>
  <c r="E93" i="19"/>
  <c r="J88" i="43"/>
  <c r="M88" i="43" s="1"/>
  <c r="K88" i="43" s="1"/>
  <c r="I92" i="19" s="1"/>
  <c r="M92" i="19" s="1"/>
  <c r="C90" i="43"/>
  <c r="S89" i="43"/>
  <c r="T89" i="43" s="1"/>
  <c r="Q89" i="43"/>
  <c r="R89" i="43" s="1"/>
  <c r="I89" i="43"/>
  <c r="A91" i="43"/>
  <c r="P102" i="41"/>
  <c r="Q102" i="41" s="1"/>
  <c r="R102" i="41"/>
  <c r="S102" i="41" s="1"/>
  <c r="H79" i="3"/>
  <c r="I78" i="3"/>
  <c r="M78" i="3" s="1"/>
  <c r="F79" i="3"/>
  <c r="G79" i="3"/>
  <c r="D78" i="3"/>
  <c r="E79" i="3"/>
  <c r="B103" i="41"/>
  <c r="Y103" i="41" s="1"/>
  <c r="K106" i="3"/>
  <c r="F102" i="41"/>
  <c r="O70" i="3"/>
  <c r="Q76" i="3"/>
  <c r="R75" i="3"/>
  <c r="U74" i="19"/>
  <c r="Q76" i="19"/>
  <c r="R75" i="19"/>
  <c r="U74" i="3"/>
  <c r="D103" i="41" l="1"/>
  <c r="C103" i="41"/>
  <c r="D91" i="43"/>
  <c r="F91" i="43" s="1"/>
  <c r="F95" i="19" s="1"/>
  <c r="E91" i="43"/>
  <c r="G91" i="43" s="1"/>
  <c r="G95" i="19" s="1"/>
  <c r="J101" i="41"/>
  <c r="G101" i="41"/>
  <c r="G100" i="41"/>
  <c r="J100" i="41"/>
  <c r="A93" i="19"/>
  <c r="I102" i="41"/>
  <c r="E102" i="41"/>
  <c r="C107" i="3"/>
  <c r="A106" i="3"/>
  <c r="H88" i="43"/>
  <c r="C94" i="19"/>
  <c r="D94" i="19" s="1"/>
  <c r="W90" i="43"/>
  <c r="K94" i="19" s="1"/>
  <c r="J89" i="43"/>
  <c r="M89" i="43" s="1"/>
  <c r="E94" i="19"/>
  <c r="C91" i="43"/>
  <c r="Q90" i="43"/>
  <c r="R90" i="43" s="1"/>
  <c r="S90" i="43"/>
  <c r="T90" i="43" s="1"/>
  <c r="L89" i="43"/>
  <c r="I90" i="43"/>
  <c r="A92" i="43"/>
  <c r="P103" i="41"/>
  <c r="Q103" i="41" s="1"/>
  <c r="F103" i="41"/>
  <c r="H80" i="3"/>
  <c r="I79" i="3"/>
  <c r="M79" i="3" s="1"/>
  <c r="F80" i="3"/>
  <c r="G80" i="3"/>
  <c r="D79" i="3"/>
  <c r="E80" i="3"/>
  <c r="B104" i="41"/>
  <c r="Y104" i="41" s="1"/>
  <c r="K107" i="3"/>
  <c r="U75" i="3"/>
  <c r="O71" i="3"/>
  <c r="Q77" i="3"/>
  <c r="R76" i="3"/>
  <c r="U75" i="19"/>
  <c r="Q77" i="19"/>
  <c r="R76" i="19"/>
  <c r="C104" i="41" l="1"/>
  <c r="D104" i="41"/>
  <c r="D92" i="43"/>
  <c r="F92" i="43" s="1"/>
  <c r="F96" i="19" s="1"/>
  <c r="E92" i="43"/>
  <c r="G92" i="43" s="1"/>
  <c r="G96" i="19" s="1"/>
  <c r="H89" i="43"/>
  <c r="E103" i="41"/>
  <c r="A94" i="19"/>
  <c r="R103" i="41"/>
  <c r="S103" i="41" s="1"/>
  <c r="I103" i="41" s="1"/>
  <c r="H103" i="41"/>
  <c r="K103" i="41" s="1"/>
  <c r="L102" i="41"/>
  <c r="H102" i="41"/>
  <c r="K102" i="41" s="1"/>
  <c r="C108" i="3"/>
  <c r="A107" i="3"/>
  <c r="K89" i="43"/>
  <c r="I93" i="19" s="1"/>
  <c r="M93" i="19" s="1"/>
  <c r="C95" i="19"/>
  <c r="D95" i="19" s="1"/>
  <c r="W91" i="43"/>
  <c r="K95" i="19" s="1"/>
  <c r="E95" i="19"/>
  <c r="J90" i="43"/>
  <c r="M90" i="43" s="1"/>
  <c r="C92" i="43"/>
  <c r="Q91" i="43"/>
  <c r="R91" i="43" s="1"/>
  <c r="S91" i="43"/>
  <c r="T91" i="43" s="1"/>
  <c r="I91" i="43"/>
  <c r="L90" i="43"/>
  <c r="A93" i="43"/>
  <c r="E104" i="41"/>
  <c r="R104" i="41"/>
  <c r="S104" i="41" s="1"/>
  <c r="P104" i="41"/>
  <c r="Q104" i="41" s="1"/>
  <c r="H81" i="3"/>
  <c r="I80" i="3"/>
  <c r="M80" i="3" s="1"/>
  <c r="F81" i="3"/>
  <c r="G81" i="3"/>
  <c r="D80" i="3"/>
  <c r="E81" i="3"/>
  <c r="B105" i="41"/>
  <c r="Y105" i="41" s="1"/>
  <c r="K108" i="3"/>
  <c r="O72" i="3"/>
  <c r="U76" i="3"/>
  <c r="Q78" i="3"/>
  <c r="R77" i="3"/>
  <c r="U76" i="19"/>
  <c r="Q78" i="19"/>
  <c r="R77" i="19"/>
  <c r="C105" i="41" l="1"/>
  <c r="D105" i="41"/>
  <c r="D93" i="43"/>
  <c r="E93" i="43"/>
  <c r="G93" i="43" s="1"/>
  <c r="G97" i="19" s="1"/>
  <c r="G102" i="41"/>
  <c r="I104" i="41"/>
  <c r="F104" i="41"/>
  <c r="H104" i="41" s="1"/>
  <c r="K104" i="41" s="1"/>
  <c r="J102" i="41"/>
  <c r="A95" i="19"/>
  <c r="G103" i="41"/>
  <c r="L103" i="41"/>
  <c r="J103" i="41" s="1"/>
  <c r="C109" i="3"/>
  <c r="A108" i="3"/>
  <c r="H90" i="43"/>
  <c r="K90" i="43"/>
  <c r="I94" i="19" s="1"/>
  <c r="M94" i="19" s="1"/>
  <c r="C96" i="19"/>
  <c r="D96" i="19" s="1"/>
  <c r="W92" i="43"/>
  <c r="K96" i="19" s="1"/>
  <c r="E96" i="19"/>
  <c r="J91" i="43"/>
  <c r="M91" i="43" s="1"/>
  <c r="C93" i="43"/>
  <c r="I92" i="43"/>
  <c r="L92" i="43" s="1"/>
  <c r="Q92" i="43"/>
  <c r="R92" i="43" s="1"/>
  <c r="S92" i="43"/>
  <c r="T92" i="43" s="1"/>
  <c r="L91" i="43"/>
  <c r="A94" i="43"/>
  <c r="P105" i="41"/>
  <c r="Q105" i="41" s="1"/>
  <c r="R105" i="41"/>
  <c r="S105" i="41" s="1"/>
  <c r="H82" i="3"/>
  <c r="I81" i="3"/>
  <c r="M81" i="3" s="1"/>
  <c r="F82" i="3"/>
  <c r="G82" i="3"/>
  <c r="D81" i="3"/>
  <c r="E82" i="3"/>
  <c r="B106" i="41"/>
  <c r="Y106" i="41" s="1"/>
  <c r="K109" i="3"/>
  <c r="O73" i="3"/>
  <c r="U77" i="3"/>
  <c r="Q79" i="3"/>
  <c r="R78" i="3"/>
  <c r="U77" i="19"/>
  <c r="Q79" i="19"/>
  <c r="R78" i="19"/>
  <c r="C106" i="41" l="1"/>
  <c r="D106" i="41"/>
  <c r="E94" i="43"/>
  <c r="D94" i="43"/>
  <c r="F105" i="41"/>
  <c r="L104" i="41"/>
  <c r="F94" i="43"/>
  <c r="F98" i="19" s="1"/>
  <c r="A95" i="43"/>
  <c r="J104" i="41"/>
  <c r="G104" i="41"/>
  <c r="I105" i="41"/>
  <c r="A96" i="19"/>
  <c r="E105" i="41"/>
  <c r="C110" i="3"/>
  <c r="A109" i="3"/>
  <c r="C97" i="19"/>
  <c r="D97" i="19" s="1"/>
  <c r="H91" i="43"/>
  <c r="W93" i="43"/>
  <c r="K97" i="19" s="1"/>
  <c r="E97" i="19"/>
  <c r="J92" i="43"/>
  <c r="M92" i="43" s="1"/>
  <c r="K92" i="43" s="1"/>
  <c r="I96" i="19" s="1"/>
  <c r="M96" i="19" s="1"/>
  <c r="F93" i="43"/>
  <c r="C94" i="43"/>
  <c r="S93" i="43"/>
  <c r="T93" i="43" s="1"/>
  <c r="Q93" i="43"/>
  <c r="R93" i="43" s="1"/>
  <c r="K91" i="43"/>
  <c r="I95" i="19" s="1"/>
  <c r="M95" i="19" s="1"/>
  <c r="G94" i="43"/>
  <c r="G98" i="19" s="1"/>
  <c r="P106" i="41"/>
  <c r="Q106" i="41" s="1"/>
  <c r="R106" i="41"/>
  <c r="S106" i="41" s="1"/>
  <c r="H83" i="3"/>
  <c r="I82" i="3"/>
  <c r="M82" i="3" s="1"/>
  <c r="F83" i="3"/>
  <c r="G83" i="3"/>
  <c r="D82" i="3"/>
  <c r="E83" i="3"/>
  <c r="B107" i="41"/>
  <c r="Y107" i="41" s="1"/>
  <c r="K110" i="3"/>
  <c r="E106" i="41"/>
  <c r="O74" i="3"/>
  <c r="U78" i="3"/>
  <c r="Q80" i="3"/>
  <c r="R79" i="3"/>
  <c r="U78" i="19"/>
  <c r="Q80" i="19"/>
  <c r="R79" i="19"/>
  <c r="C107" i="41" l="1"/>
  <c r="D107" i="41"/>
  <c r="E95" i="43"/>
  <c r="D95" i="43"/>
  <c r="C95" i="43"/>
  <c r="G95" i="43"/>
  <c r="S95" i="43"/>
  <c r="T95" i="43" s="1"/>
  <c r="W95" i="43"/>
  <c r="K99" i="19" s="1"/>
  <c r="A96" i="43"/>
  <c r="Q95" i="43"/>
  <c r="R95" i="43" s="1"/>
  <c r="F106" i="41"/>
  <c r="H106" i="41" s="1"/>
  <c r="K106" i="41" s="1"/>
  <c r="H92" i="43"/>
  <c r="C98" i="19"/>
  <c r="D98" i="19" s="1"/>
  <c r="A97" i="19"/>
  <c r="I106" i="41"/>
  <c r="L105" i="41"/>
  <c r="H105" i="41"/>
  <c r="K105" i="41" s="1"/>
  <c r="C111" i="3"/>
  <c r="A110" i="3"/>
  <c r="I93" i="43"/>
  <c r="F97" i="19"/>
  <c r="W94" i="43"/>
  <c r="K98" i="19" s="1"/>
  <c r="E98" i="19"/>
  <c r="J93" i="43"/>
  <c r="M93" i="43" s="1"/>
  <c r="I94" i="43"/>
  <c r="L94" i="43" s="1"/>
  <c r="Q94" i="43"/>
  <c r="R94" i="43" s="1"/>
  <c r="S94" i="43"/>
  <c r="T94" i="43" s="1"/>
  <c r="P107" i="41"/>
  <c r="Q107" i="41" s="1"/>
  <c r="R107" i="41"/>
  <c r="S107" i="41" s="1"/>
  <c r="H84" i="3"/>
  <c r="I83" i="3"/>
  <c r="M83" i="3" s="1"/>
  <c r="F84" i="3"/>
  <c r="G84" i="3"/>
  <c r="D83" i="3"/>
  <c r="E84" i="3"/>
  <c r="B108" i="41"/>
  <c r="Y108" i="41" s="1"/>
  <c r="K111" i="3"/>
  <c r="F107" i="41"/>
  <c r="O75" i="3"/>
  <c r="U79" i="3"/>
  <c r="Q81" i="3"/>
  <c r="R80" i="3"/>
  <c r="U79" i="19"/>
  <c r="Q81" i="19"/>
  <c r="R80" i="19"/>
  <c r="C108" i="41" l="1"/>
  <c r="D108" i="41"/>
  <c r="D96" i="43"/>
  <c r="E96" i="43"/>
  <c r="E99" i="19"/>
  <c r="J95" i="43"/>
  <c r="C96" i="43"/>
  <c r="W96" i="43"/>
  <c r="Q96" i="43"/>
  <c r="R96" i="43" s="1"/>
  <c r="G96" i="43"/>
  <c r="A97" i="43"/>
  <c r="F95" i="43"/>
  <c r="F99" i="19" s="1"/>
  <c r="C99" i="19"/>
  <c r="D99" i="19" s="1"/>
  <c r="G106" i="41"/>
  <c r="G105" i="41"/>
  <c r="A98" i="19"/>
  <c r="J105" i="41"/>
  <c r="G99" i="19"/>
  <c r="I107" i="41"/>
  <c r="E107" i="41"/>
  <c r="L106" i="41"/>
  <c r="J106" i="41" s="1"/>
  <c r="C112" i="3"/>
  <c r="A111" i="3"/>
  <c r="H93" i="43"/>
  <c r="L93" i="43"/>
  <c r="K93" i="43" s="1"/>
  <c r="I97" i="19" s="1"/>
  <c r="M97" i="19" s="1"/>
  <c r="J94" i="43"/>
  <c r="E108" i="41"/>
  <c r="R108" i="41"/>
  <c r="S108" i="41" s="1"/>
  <c r="H85" i="3"/>
  <c r="I84" i="3"/>
  <c r="M84" i="3" s="1"/>
  <c r="F85" i="3"/>
  <c r="G85" i="3"/>
  <c r="D84" i="3"/>
  <c r="E85" i="3"/>
  <c r="B109" i="41"/>
  <c r="Y109" i="41" s="1"/>
  <c r="K112" i="3"/>
  <c r="O76" i="3"/>
  <c r="U80" i="3"/>
  <c r="Q82" i="3"/>
  <c r="R81" i="3"/>
  <c r="U80" i="19"/>
  <c r="Q82" i="19"/>
  <c r="R81" i="19"/>
  <c r="C109" i="41" l="1"/>
  <c r="D109" i="41"/>
  <c r="E97" i="43"/>
  <c r="D97" i="43"/>
  <c r="E100" i="19"/>
  <c r="S96" i="43"/>
  <c r="T96" i="43" s="1"/>
  <c r="F96" i="43"/>
  <c r="I96" i="43" s="1"/>
  <c r="J96" i="43"/>
  <c r="M96" i="43" s="1"/>
  <c r="A98" i="43"/>
  <c r="F97" i="43"/>
  <c r="G97" i="43"/>
  <c r="C97" i="43"/>
  <c r="W97" i="43" s="1"/>
  <c r="K101" i="19" s="1"/>
  <c r="I95" i="43"/>
  <c r="M95" i="43"/>
  <c r="A99" i="19"/>
  <c r="C100" i="19"/>
  <c r="A100" i="19" s="1"/>
  <c r="K100" i="19"/>
  <c r="G100" i="19"/>
  <c r="P108" i="41"/>
  <c r="Q108" i="41" s="1"/>
  <c r="I108" i="41" s="1"/>
  <c r="F108" i="41"/>
  <c r="H108" i="41" s="1"/>
  <c r="K108" i="41" s="1"/>
  <c r="H107" i="41"/>
  <c r="K107" i="41" s="1"/>
  <c r="L107" i="41"/>
  <c r="C113" i="3"/>
  <c r="A112" i="3"/>
  <c r="M94" i="43"/>
  <c r="K94" i="43" s="1"/>
  <c r="I98" i="19" s="1"/>
  <c r="H94" i="43"/>
  <c r="P109" i="41"/>
  <c r="Q109" i="41" s="1"/>
  <c r="F109" i="41"/>
  <c r="H86" i="3"/>
  <c r="I85" i="3"/>
  <c r="M85" i="3" s="1"/>
  <c r="F86" i="3"/>
  <c r="G86" i="3"/>
  <c r="D85" i="3"/>
  <c r="E86" i="3"/>
  <c r="B110" i="41"/>
  <c r="Y110" i="41" s="1"/>
  <c r="K113" i="3"/>
  <c r="O77" i="3"/>
  <c r="Q83" i="3"/>
  <c r="R82" i="3"/>
  <c r="U81" i="3"/>
  <c r="U81" i="19"/>
  <c r="Q83" i="19"/>
  <c r="R82" i="19"/>
  <c r="C110" i="41" l="1"/>
  <c r="D110" i="41"/>
  <c r="D98" i="43"/>
  <c r="E98" i="43"/>
  <c r="F100" i="19"/>
  <c r="S97" i="43"/>
  <c r="T97" i="43" s="1"/>
  <c r="G108" i="41"/>
  <c r="D100" i="19"/>
  <c r="I97" i="43"/>
  <c r="A99" i="43"/>
  <c r="E102" i="19"/>
  <c r="F98" i="43"/>
  <c r="C98" i="43"/>
  <c r="W98" i="43" s="1"/>
  <c r="K102" i="19" s="1"/>
  <c r="G98" i="43"/>
  <c r="S98" i="43"/>
  <c r="T98" i="43" s="1"/>
  <c r="E101" i="19"/>
  <c r="L96" i="43"/>
  <c r="K96" i="43" s="1"/>
  <c r="I100" i="19" s="1"/>
  <c r="H96" i="43"/>
  <c r="Q97" i="43"/>
  <c r="R97" i="43" s="1"/>
  <c r="J97" i="43" s="1"/>
  <c r="M97" i="43" s="1"/>
  <c r="L95" i="43"/>
  <c r="K95" i="43" s="1"/>
  <c r="I99" i="19" s="1"/>
  <c r="M99" i="19" s="1"/>
  <c r="H95" i="43"/>
  <c r="C101" i="19"/>
  <c r="D101" i="19" s="1"/>
  <c r="G107" i="41"/>
  <c r="J107" i="41"/>
  <c r="G101" i="19"/>
  <c r="R109" i="41"/>
  <c r="S109" i="41" s="1"/>
  <c r="I109" i="41" s="1"/>
  <c r="E109" i="41"/>
  <c r="L108" i="41"/>
  <c r="J108" i="41" s="1"/>
  <c r="C114" i="3"/>
  <c r="A113" i="3"/>
  <c r="M98" i="19"/>
  <c r="E110" i="41"/>
  <c r="F110" i="41"/>
  <c r="H87" i="3"/>
  <c r="I86" i="3"/>
  <c r="M86" i="3" s="1"/>
  <c r="F87" i="3"/>
  <c r="G87" i="3"/>
  <c r="D86" i="3"/>
  <c r="E87" i="3"/>
  <c r="B111" i="41"/>
  <c r="Y111" i="41" s="1"/>
  <c r="K114" i="3"/>
  <c r="O78" i="3"/>
  <c r="U82" i="3"/>
  <c r="Q84" i="3"/>
  <c r="R83" i="3"/>
  <c r="U82" i="19"/>
  <c r="Q84" i="19"/>
  <c r="R83" i="19"/>
  <c r="D111" i="41" l="1"/>
  <c r="C111" i="41"/>
  <c r="D99" i="43"/>
  <c r="E99" i="43"/>
  <c r="I98" i="43"/>
  <c r="Q98" i="43"/>
  <c r="R98" i="43" s="1"/>
  <c r="J98" i="43" s="1"/>
  <c r="M98" i="43" s="1"/>
  <c r="A100" i="43"/>
  <c r="C99" i="43"/>
  <c r="W99" i="43" s="1"/>
  <c r="K103" i="19" s="1"/>
  <c r="Q99" i="43"/>
  <c r="R99" i="43" s="1"/>
  <c r="E103" i="19"/>
  <c r="A101" i="19"/>
  <c r="L97" i="43"/>
  <c r="K97" i="43" s="1"/>
  <c r="H97" i="43"/>
  <c r="C102" i="19"/>
  <c r="P110" i="41"/>
  <c r="Q110" i="41" s="1"/>
  <c r="G102" i="19"/>
  <c r="F101" i="19"/>
  <c r="H110" i="41"/>
  <c r="K110" i="41" s="1"/>
  <c r="R110" i="41"/>
  <c r="S110" i="41" s="1"/>
  <c r="H109" i="41"/>
  <c r="K109" i="41" s="1"/>
  <c r="L109" i="41"/>
  <c r="C115" i="3"/>
  <c r="A114" i="3"/>
  <c r="M100" i="19"/>
  <c r="E111" i="41"/>
  <c r="F111" i="41"/>
  <c r="H88" i="3"/>
  <c r="I87" i="3"/>
  <c r="M87" i="3" s="1"/>
  <c r="F88" i="3"/>
  <c r="G88" i="3"/>
  <c r="D87" i="3"/>
  <c r="E88" i="3"/>
  <c r="B112" i="41"/>
  <c r="Y112" i="41" s="1"/>
  <c r="K115" i="3"/>
  <c r="O79" i="3"/>
  <c r="Q85" i="3"/>
  <c r="R84" i="3"/>
  <c r="U83" i="3"/>
  <c r="U83" i="19"/>
  <c r="Q85" i="19"/>
  <c r="R84" i="19"/>
  <c r="C112" i="41" l="1"/>
  <c r="D112" i="41"/>
  <c r="D100" i="43"/>
  <c r="E100" i="43"/>
  <c r="A102" i="19"/>
  <c r="D102" i="19"/>
  <c r="G99" i="43"/>
  <c r="A101" i="43"/>
  <c r="C100" i="43"/>
  <c r="W100" i="43" s="1"/>
  <c r="K104" i="19" s="1"/>
  <c r="F100" i="43"/>
  <c r="G100" i="43"/>
  <c r="S99" i="43"/>
  <c r="T99" i="43" s="1"/>
  <c r="J99" i="43" s="1"/>
  <c r="F99" i="43"/>
  <c r="L98" i="43"/>
  <c r="K98" i="43" s="1"/>
  <c r="H98" i="43"/>
  <c r="I110" i="41"/>
  <c r="L110" i="41" s="1"/>
  <c r="J110" i="41" s="1"/>
  <c r="G110" i="41"/>
  <c r="G109" i="41"/>
  <c r="J109" i="41"/>
  <c r="F103" i="19"/>
  <c r="I101" i="19"/>
  <c r="M101" i="19" s="1"/>
  <c r="F102" i="19"/>
  <c r="C103" i="19"/>
  <c r="A103" i="19" s="1"/>
  <c r="G103" i="19"/>
  <c r="H111" i="41"/>
  <c r="K111" i="41" s="1"/>
  <c r="P111" i="41"/>
  <c r="Q111" i="41" s="1"/>
  <c r="R111" i="41"/>
  <c r="S111" i="41" s="1"/>
  <c r="C116" i="3"/>
  <c r="A115" i="3"/>
  <c r="E112" i="41"/>
  <c r="R112" i="41"/>
  <c r="S112" i="41" s="1"/>
  <c r="H89" i="3"/>
  <c r="I88" i="3"/>
  <c r="M88" i="3" s="1"/>
  <c r="F89" i="3"/>
  <c r="G89" i="3"/>
  <c r="D88" i="3"/>
  <c r="E89" i="3"/>
  <c r="B113" i="41"/>
  <c r="Y113" i="41" s="1"/>
  <c r="K116" i="3"/>
  <c r="U84" i="3"/>
  <c r="O80" i="3"/>
  <c r="Q86" i="3"/>
  <c r="R85" i="3"/>
  <c r="U84" i="19"/>
  <c r="Q86" i="19"/>
  <c r="R85" i="19"/>
  <c r="C113" i="41" l="1"/>
  <c r="D113" i="41"/>
  <c r="E101" i="43"/>
  <c r="D101" i="43"/>
  <c r="I100" i="43"/>
  <c r="A102" i="43"/>
  <c r="C101" i="43"/>
  <c r="W101" i="43" s="1"/>
  <c r="Q101" i="43"/>
  <c r="R101" i="43" s="1"/>
  <c r="E105" i="19"/>
  <c r="S100" i="43"/>
  <c r="T100" i="43" s="1"/>
  <c r="Q100" i="43"/>
  <c r="R100" i="43" s="1"/>
  <c r="I99" i="43"/>
  <c r="M99" i="43"/>
  <c r="E104" i="19"/>
  <c r="F112" i="41"/>
  <c r="D103" i="19"/>
  <c r="C104" i="19"/>
  <c r="A104" i="19" s="1"/>
  <c r="I102" i="19"/>
  <c r="M102" i="19" s="1"/>
  <c r="F104" i="19"/>
  <c r="G104" i="19"/>
  <c r="H112" i="41"/>
  <c r="K112" i="41" s="1"/>
  <c r="P112" i="41"/>
  <c r="Q112" i="41" s="1"/>
  <c r="I112" i="41" s="1"/>
  <c r="I111" i="41"/>
  <c r="C117" i="3"/>
  <c r="A116" i="3"/>
  <c r="E113" i="41"/>
  <c r="R113" i="41"/>
  <c r="S113" i="41" s="1"/>
  <c r="H90" i="3"/>
  <c r="I89" i="3"/>
  <c r="M89" i="3" s="1"/>
  <c r="F90" i="3"/>
  <c r="G90" i="3"/>
  <c r="D89" i="3"/>
  <c r="E90" i="3"/>
  <c r="B114" i="41"/>
  <c r="Y114" i="41" s="1"/>
  <c r="K117" i="3"/>
  <c r="O81" i="3"/>
  <c r="U85" i="3"/>
  <c r="Q87" i="3"/>
  <c r="R86" i="3"/>
  <c r="U85" i="19"/>
  <c r="Q87" i="19"/>
  <c r="R86" i="19"/>
  <c r="C114" i="41" l="1"/>
  <c r="D114" i="41"/>
  <c r="E102" i="43"/>
  <c r="D102" i="43"/>
  <c r="C105" i="19"/>
  <c r="A105" i="19" s="1"/>
  <c r="F101" i="43"/>
  <c r="H99" i="43"/>
  <c r="L99" i="43"/>
  <c r="K99" i="43" s="1"/>
  <c r="S101" i="43"/>
  <c r="T101" i="43" s="1"/>
  <c r="J101" i="43" s="1"/>
  <c r="A103" i="43"/>
  <c r="C102" i="43"/>
  <c r="W102" i="43" s="1"/>
  <c r="K106" i="19" s="1"/>
  <c r="F102" i="43"/>
  <c r="E106" i="19"/>
  <c r="G101" i="43"/>
  <c r="G105" i="19" s="1"/>
  <c r="J100" i="43"/>
  <c r="M100" i="43" s="1"/>
  <c r="H100" i="43"/>
  <c r="L100" i="43"/>
  <c r="K100" i="43" s="1"/>
  <c r="G112" i="41"/>
  <c r="D104" i="19"/>
  <c r="F113" i="41"/>
  <c r="H113" i="41" s="1"/>
  <c r="K113" i="41" s="1"/>
  <c r="P113" i="41"/>
  <c r="Q113" i="41" s="1"/>
  <c r="I113" i="41" s="1"/>
  <c r="I103" i="19"/>
  <c r="M103" i="19" s="1"/>
  <c r="K105" i="19"/>
  <c r="G111" i="41"/>
  <c r="L111" i="41"/>
  <c r="J111" i="41" s="1"/>
  <c r="L112" i="41"/>
  <c r="J112" i="41" s="1"/>
  <c r="C118" i="3"/>
  <c r="A117" i="3"/>
  <c r="D105" i="19"/>
  <c r="P114" i="41"/>
  <c r="Q114" i="41" s="1"/>
  <c r="R114" i="41"/>
  <c r="S114" i="41" s="1"/>
  <c r="H91" i="3"/>
  <c r="I90" i="3"/>
  <c r="M90" i="3" s="1"/>
  <c r="F91" i="3"/>
  <c r="G91" i="3"/>
  <c r="D90" i="3"/>
  <c r="E91" i="3"/>
  <c r="B115" i="41"/>
  <c r="Y115" i="41" s="1"/>
  <c r="K118" i="3"/>
  <c r="F114" i="41"/>
  <c r="O82" i="3"/>
  <c r="Q88" i="3"/>
  <c r="R87" i="3"/>
  <c r="U86" i="3"/>
  <c r="U86" i="19"/>
  <c r="Q88" i="19"/>
  <c r="R87" i="19"/>
  <c r="C115" i="41" l="1"/>
  <c r="D115" i="41"/>
  <c r="E103" i="43"/>
  <c r="D103" i="43"/>
  <c r="G102" i="43"/>
  <c r="S102" i="43"/>
  <c r="T102" i="43" s="1"/>
  <c r="I102" i="43"/>
  <c r="Q102" i="43"/>
  <c r="R102" i="43" s="1"/>
  <c r="M101" i="43"/>
  <c r="I101" i="43"/>
  <c r="A104" i="43"/>
  <c r="Q103" i="43"/>
  <c r="R103" i="43" s="1"/>
  <c r="E107" i="19"/>
  <c r="C103" i="43"/>
  <c r="W103" i="43" s="1"/>
  <c r="K107" i="19" s="1"/>
  <c r="C106" i="19"/>
  <c r="A106" i="19" s="1"/>
  <c r="G113" i="41"/>
  <c r="E114" i="41"/>
  <c r="G106" i="19"/>
  <c r="I104" i="19"/>
  <c r="M104" i="19" s="1"/>
  <c r="F105" i="19"/>
  <c r="I114" i="41"/>
  <c r="H114" i="41"/>
  <c r="K114" i="41" s="1"/>
  <c r="L113" i="41"/>
  <c r="J113" i="41" s="1"/>
  <c r="C119" i="3"/>
  <c r="A118" i="3"/>
  <c r="P115" i="41"/>
  <c r="Q115" i="41" s="1"/>
  <c r="F115" i="41"/>
  <c r="H92" i="3"/>
  <c r="I91" i="3"/>
  <c r="M91" i="3" s="1"/>
  <c r="F92" i="3"/>
  <c r="G92" i="3"/>
  <c r="D91" i="3"/>
  <c r="E92" i="3"/>
  <c r="B116" i="41"/>
  <c r="Y116" i="41" s="1"/>
  <c r="K119" i="3"/>
  <c r="O83" i="3"/>
  <c r="U87" i="3"/>
  <c r="Q89" i="3"/>
  <c r="R88" i="3"/>
  <c r="U87" i="19"/>
  <c r="Q89" i="19"/>
  <c r="R88" i="19"/>
  <c r="C116" i="41" l="1"/>
  <c r="D116" i="41"/>
  <c r="D104" i="43"/>
  <c r="E104" i="43"/>
  <c r="F103" i="43"/>
  <c r="J102" i="43"/>
  <c r="M102" i="43" s="1"/>
  <c r="S103" i="43"/>
  <c r="T103" i="43" s="1"/>
  <c r="J103" i="43" s="1"/>
  <c r="G103" i="43"/>
  <c r="G107" i="19" s="1"/>
  <c r="D106" i="19"/>
  <c r="A105" i="43"/>
  <c r="E108" i="19"/>
  <c r="C104" i="43"/>
  <c r="W104" i="43" s="1"/>
  <c r="K108" i="19" s="1"/>
  <c r="F104" i="43"/>
  <c r="L101" i="43"/>
  <c r="K101" i="43" s="1"/>
  <c r="I105" i="19" s="1"/>
  <c r="M105" i="19" s="1"/>
  <c r="H101" i="43"/>
  <c r="L102" i="43"/>
  <c r="K102" i="43" s="1"/>
  <c r="H102" i="43"/>
  <c r="C107" i="19"/>
  <c r="A107" i="19" s="1"/>
  <c r="G114" i="41"/>
  <c r="R115" i="41"/>
  <c r="S115" i="41" s="1"/>
  <c r="I115" i="41" s="1"/>
  <c r="E115" i="41"/>
  <c r="H115" i="41" s="1"/>
  <c r="K115" i="41" s="1"/>
  <c r="F107" i="19"/>
  <c r="F106" i="19"/>
  <c r="L114" i="41"/>
  <c r="J114" i="41" s="1"/>
  <c r="C120" i="3"/>
  <c r="A119" i="3"/>
  <c r="P116" i="41"/>
  <c r="Q116" i="41" s="1"/>
  <c r="R116" i="41"/>
  <c r="S116" i="41" s="1"/>
  <c r="H93" i="3"/>
  <c r="I92" i="3"/>
  <c r="M92" i="3" s="1"/>
  <c r="F93" i="3"/>
  <c r="G93" i="3"/>
  <c r="D92" i="3"/>
  <c r="E93" i="3"/>
  <c r="B117" i="41"/>
  <c r="Y117" i="41" s="1"/>
  <c r="K120" i="3"/>
  <c r="O84" i="3"/>
  <c r="U88" i="3"/>
  <c r="Q90" i="3"/>
  <c r="R89" i="3"/>
  <c r="U88" i="19"/>
  <c r="Q90" i="19"/>
  <c r="R89" i="19"/>
  <c r="C117" i="41" l="1"/>
  <c r="D117" i="41"/>
  <c r="D105" i="43"/>
  <c r="E105" i="43"/>
  <c r="I103" i="43"/>
  <c r="L103" i="43" s="1"/>
  <c r="K103" i="43" s="1"/>
  <c r="M103" i="43"/>
  <c r="S104" i="43"/>
  <c r="T104" i="43" s="1"/>
  <c r="E116" i="41"/>
  <c r="F116" i="41"/>
  <c r="L115" i="41"/>
  <c r="C108" i="19"/>
  <c r="A108" i="19" s="1"/>
  <c r="G104" i="43"/>
  <c r="I104" i="43" s="1"/>
  <c r="Q104" i="43"/>
  <c r="R104" i="43" s="1"/>
  <c r="A106" i="43"/>
  <c r="S105" i="43"/>
  <c r="T105" i="43" s="1"/>
  <c r="F105" i="43"/>
  <c r="C105" i="43"/>
  <c r="W105" i="43" s="1"/>
  <c r="D107" i="19"/>
  <c r="J115" i="41"/>
  <c r="G115" i="41"/>
  <c r="F108" i="19"/>
  <c r="I106" i="19"/>
  <c r="M106" i="19" s="1"/>
  <c r="G108" i="19"/>
  <c r="I116" i="41"/>
  <c r="C121" i="3"/>
  <c r="A120" i="3"/>
  <c r="P117" i="41"/>
  <c r="Q117" i="41" s="1"/>
  <c r="R117" i="41"/>
  <c r="S117" i="41" s="1"/>
  <c r="H94" i="3"/>
  <c r="I93" i="3"/>
  <c r="M93" i="3" s="1"/>
  <c r="F94" i="3"/>
  <c r="G94" i="3"/>
  <c r="D93" i="3"/>
  <c r="E94" i="3"/>
  <c r="B118" i="41"/>
  <c r="Y118" i="41" s="1"/>
  <c r="K121" i="3"/>
  <c r="F117" i="41"/>
  <c r="O85" i="3"/>
  <c r="U89" i="3"/>
  <c r="Q91" i="3"/>
  <c r="R90" i="3"/>
  <c r="U89" i="19"/>
  <c r="Q91" i="19"/>
  <c r="R90" i="19"/>
  <c r="C118" i="41" l="1"/>
  <c r="D118" i="41"/>
  <c r="E106" i="43"/>
  <c r="D106" i="43"/>
  <c r="H103" i="43"/>
  <c r="J104" i="43"/>
  <c r="C109" i="19"/>
  <c r="A109" i="19" s="1"/>
  <c r="Q105" i="43"/>
  <c r="R105" i="43" s="1"/>
  <c r="J105" i="43" s="1"/>
  <c r="D108" i="19"/>
  <c r="H116" i="41"/>
  <c r="K116" i="41" s="1"/>
  <c r="E109" i="19"/>
  <c r="H104" i="43"/>
  <c r="L104" i="43"/>
  <c r="K104" i="43" s="1"/>
  <c r="A107" i="43"/>
  <c r="C106" i="43"/>
  <c r="W106" i="43" s="1"/>
  <c r="Q106" i="43"/>
  <c r="R106" i="43" s="1"/>
  <c r="S106" i="43"/>
  <c r="T106" i="43" s="1"/>
  <c r="M104" i="43"/>
  <c r="G105" i="43"/>
  <c r="M105" i="43" s="1"/>
  <c r="E117" i="41"/>
  <c r="H117" i="41" s="1"/>
  <c r="K117" i="41" s="1"/>
  <c r="L116" i="41"/>
  <c r="K109" i="19"/>
  <c r="I107" i="19"/>
  <c r="M107" i="19" s="1"/>
  <c r="G109" i="19"/>
  <c r="I117" i="41"/>
  <c r="C122" i="3"/>
  <c r="A121" i="3"/>
  <c r="P118" i="41"/>
  <c r="Q118" i="41" s="1"/>
  <c r="R118" i="41"/>
  <c r="S118" i="41" s="1"/>
  <c r="H95" i="3"/>
  <c r="I94" i="3"/>
  <c r="M94" i="3" s="1"/>
  <c r="F95" i="3"/>
  <c r="G95" i="3"/>
  <c r="D94" i="3"/>
  <c r="E95" i="3"/>
  <c r="B119" i="41"/>
  <c r="Y119" i="41" s="1"/>
  <c r="K122" i="3"/>
  <c r="O86" i="3"/>
  <c r="U90" i="3"/>
  <c r="Q92" i="3"/>
  <c r="R91" i="3"/>
  <c r="Q92" i="19"/>
  <c r="R91" i="19"/>
  <c r="U90" i="19"/>
  <c r="C119" i="41" l="1"/>
  <c r="D119" i="41"/>
  <c r="E107" i="43"/>
  <c r="D107" i="43"/>
  <c r="J116" i="41"/>
  <c r="D109" i="19"/>
  <c r="G117" i="41"/>
  <c r="C110" i="19"/>
  <c r="A110" i="19" s="1"/>
  <c r="F106" i="43"/>
  <c r="G116" i="41"/>
  <c r="J106" i="43"/>
  <c r="E110" i="19"/>
  <c r="G106" i="43"/>
  <c r="G110" i="19" s="1"/>
  <c r="A108" i="43"/>
  <c r="C107" i="43"/>
  <c r="F107" i="43"/>
  <c r="S107" i="43"/>
  <c r="T107" i="43" s="1"/>
  <c r="I105" i="43"/>
  <c r="F118" i="41"/>
  <c r="I118" i="41"/>
  <c r="E118" i="41"/>
  <c r="H118" i="41" s="1"/>
  <c r="K118" i="41" s="1"/>
  <c r="L117" i="41"/>
  <c r="J117" i="41" s="1"/>
  <c r="F109" i="19"/>
  <c r="I108" i="19"/>
  <c r="M108" i="19" s="1"/>
  <c r="K110" i="19"/>
  <c r="L118" i="41"/>
  <c r="C123" i="3"/>
  <c r="A122" i="3"/>
  <c r="R119" i="41"/>
  <c r="S119" i="41" s="1"/>
  <c r="P119" i="41"/>
  <c r="Q119" i="41" s="1"/>
  <c r="H96" i="3"/>
  <c r="I95" i="3"/>
  <c r="M95" i="3" s="1"/>
  <c r="F96" i="3"/>
  <c r="G96" i="3"/>
  <c r="D95" i="3"/>
  <c r="E96" i="3"/>
  <c r="B120" i="41"/>
  <c r="Y120" i="41" s="1"/>
  <c r="K123" i="3"/>
  <c r="F119" i="41"/>
  <c r="E119" i="41"/>
  <c r="O87" i="3"/>
  <c r="U91" i="3"/>
  <c r="Q93" i="3"/>
  <c r="R92" i="3"/>
  <c r="Q93" i="19"/>
  <c r="R92" i="19"/>
  <c r="U91" i="19"/>
  <c r="D120" i="41" l="1"/>
  <c r="C120" i="41"/>
  <c r="D110" i="19"/>
  <c r="D108" i="43"/>
  <c r="E108" i="43"/>
  <c r="C111" i="19"/>
  <c r="A111" i="19" s="1"/>
  <c r="J118" i="41"/>
  <c r="W107" i="43"/>
  <c r="K111" i="19" s="1"/>
  <c r="Q107" i="43"/>
  <c r="R107" i="43" s="1"/>
  <c r="G107" i="43"/>
  <c r="M107" i="43" s="1"/>
  <c r="E111" i="19"/>
  <c r="J107" i="43"/>
  <c r="E112" i="19"/>
  <c r="C108" i="43"/>
  <c r="W108" i="43" s="1"/>
  <c r="Q108" i="43"/>
  <c r="R108" i="43" s="1"/>
  <c r="A109" i="43"/>
  <c r="H105" i="43"/>
  <c r="L105" i="43"/>
  <c r="K105" i="43" s="1"/>
  <c r="I109" i="19" s="1"/>
  <c r="M106" i="43"/>
  <c r="I106" i="43"/>
  <c r="H119" i="41"/>
  <c r="K119" i="41" s="1"/>
  <c r="I119" i="41"/>
  <c r="G119" i="41" s="1"/>
  <c r="G118" i="41"/>
  <c r="F110" i="19"/>
  <c r="C124" i="3"/>
  <c r="A123" i="3"/>
  <c r="P120" i="41"/>
  <c r="Q120" i="41" s="1"/>
  <c r="R120" i="41"/>
  <c r="S120" i="41" s="1"/>
  <c r="H97" i="3"/>
  <c r="I96" i="3"/>
  <c r="M96" i="3" s="1"/>
  <c r="F97" i="3"/>
  <c r="G97" i="3"/>
  <c r="D96" i="3"/>
  <c r="E97" i="3"/>
  <c r="B121" i="41"/>
  <c r="Y121" i="41" s="1"/>
  <c r="K124" i="3"/>
  <c r="O88" i="3"/>
  <c r="U92" i="3"/>
  <c r="Q94" i="3"/>
  <c r="R93" i="3"/>
  <c r="Q94" i="19"/>
  <c r="R93" i="19"/>
  <c r="U92" i="19"/>
  <c r="M109" i="19" l="1"/>
  <c r="D121" i="41"/>
  <c r="C121" i="41"/>
  <c r="D109" i="43"/>
  <c r="E109" i="43"/>
  <c r="D111" i="19"/>
  <c r="G111" i="19"/>
  <c r="I107" i="43"/>
  <c r="S108" i="43"/>
  <c r="T108" i="43" s="1"/>
  <c r="J108" i="43"/>
  <c r="C112" i="19"/>
  <c r="A112" i="19" s="1"/>
  <c r="L119" i="41"/>
  <c r="J119" i="41" s="1"/>
  <c r="A110" i="43"/>
  <c r="Q109" i="43"/>
  <c r="R109" i="43" s="1"/>
  <c r="E113" i="19"/>
  <c r="C109" i="43"/>
  <c r="W109" i="43" s="1"/>
  <c r="H106" i="43"/>
  <c r="L106" i="43"/>
  <c r="K106" i="43" s="1"/>
  <c r="I110" i="19" s="1"/>
  <c r="M110" i="19" s="1"/>
  <c r="L107" i="43"/>
  <c r="K107" i="43" s="1"/>
  <c r="H107" i="43"/>
  <c r="G108" i="43"/>
  <c r="G112" i="19" s="1"/>
  <c r="F108" i="43"/>
  <c r="F112" i="19" s="1"/>
  <c r="E120" i="41"/>
  <c r="F120" i="41"/>
  <c r="H120" i="41" s="1"/>
  <c r="K120" i="41" s="1"/>
  <c r="K112" i="19"/>
  <c r="F111" i="19"/>
  <c r="I120" i="41"/>
  <c r="C125" i="3"/>
  <c r="A124" i="3"/>
  <c r="P121" i="41"/>
  <c r="R121" i="41"/>
  <c r="H98" i="3"/>
  <c r="I97" i="3"/>
  <c r="M97" i="3" s="1"/>
  <c r="F98" i="3"/>
  <c r="G98" i="3"/>
  <c r="D97" i="3"/>
  <c r="E98" i="3"/>
  <c r="B122" i="41"/>
  <c r="Y122" i="41" s="1"/>
  <c r="K125" i="3"/>
  <c r="F121" i="41"/>
  <c r="O89" i="3"/>
  <c r="U93" i="3"/>
  <c r="Q95" i="3"/>
  <c r="R94" i="3"/>
  <c r="U93" i="19"/>
  <c r="Q95" i="19"/>
  <c r="R94" i="19"/>
  <c r="C122" i="41" l="1"/>
  <c r="D122" i="41"/>
  <c r="D110" i="43"/>
  <c r="E110" i="43"/>
  <c r="D112" i="19"/>
  <c r="C113" i="19"/>
  <c r="A113" i="19" s="1"/>
  <c r="G120" i="41"/>
  <c r="A111" i="43"/>
  <c r="C110" i="43"/>
  <c r="W110" i="43" s="1"/>
  <c r="Q110" i="43"/>
  <c r="R110" i="43" s="1"/>
  <c r="E114" i="19"/>
  <c r="F109" i="43"/>
  <c r="M108" i="43"/>
  <c r="I108" i="43"/>
  <c r="S109" i="43"/>
  <c r="T109" i="43" s="1"/>
  <c r="J109" i="43" s="1"/>
  <c r="G109" i="43"/>
  <c r="K113" i="19"/>
  <c r="G113" i="19"/>
  <c r="I111" i="19"/>
  <c r="F113" i="19"/>
  <c r="S121" i="41"/>
  <c r="Q121" i="41"/>
  <c r="E121" i="41"/>
  <c r="L120" i="41"/>
  <c r="J120" i="41" s="1"/>
  <c r="C126" i="3"/>
  <c r="A125" i="3"/>
  <c r="P122" i="41"/>
  <c r="Q122" i="41" s="1"/>
  <c r="R122" i="41"/>
  <c r="S122" i="41" s="1"/>
  <c r="H99" i="3"/>
  <c r="I98" i="3"/>
  <c r="M98" i="3" s="1"/>
  <c r="F99" i="3"/>
  <c r="G99" i="3"/>
  <c r="D98" i="3"/>
  <c r="E99" i="3"/>
  <c r="B123" i="41"/>
  <c r="Y123" i="41" s="1"/>
  <c r="K126" i="3"/>
  <c r="O90" i="3"/>
  <c r="U94" i="3"/>
  <c r="Q96" i="3"/>
  <c r="R95" i="3"/>
  <c r="U94" i="19"/>
  <c r="Q96" i="19"/>
  <c r="R95" i="19"/>
  <c r="M111" i="19" l="1"/>
  <c r="C123" i="41"/>
  <c r="D123" i="41"/>
  <c r="D111" i="43"/>
  <c r="E111" i="43"/>
  <c r="D113" i="19"/>
  <c r="C114" i="19"/>
  <c r="A114" i="19" s="1"/>
  <c r="E122" i="41"/>
  <c r="S110" i="43"/>
  <c r="T110" i="43" s="1"/>
  <c r="J110" i="43" s="1"/>
  <c r="H108" i="43"/>
  <c r="L108" i="43"/>
  <c r="K108" i="43" s="1"/>
  <c r="I112" i="19" s="1"/>
  <c r="G110" i="43"/>
  <c r="G111" i="43"/>
  <c r="F111" i="43"/>
  <c r="C111" i="43"/>
  <c r="W111" i="43" s="1"/>
  <c r="A112" i="43"/>
  <c r="M109" i="43"/>
  <c r="I109" i="43"/>
  <c r="F110" i="43"/>
  <c r="I121" i="41"/>
  <c r="I122" i="41"/>
  <c r="F122" i="41"/>
  <c r="K114" i="19"/>
  <c r="G114" i="19"/>
  <c r="H121" i="41"/>
  <c r="K121" i="41" s="1"/>
  <c r="L121" i="41"/>
  <c r="C127" i="3"/>
  <c r="A126" i="3"/>
  <c r="P123" i="41"/>
  <c r="Q123" i="41" s="1"/>
  <c r="R123" i="41"/>
  <c r="S123" i="41" s="1"/>
  <c r="H100" i="3"/>
  <c r="I99" i="3"/>
  <c r="M99" i="3" s="1"/>
  <c r="F100" i="3"/>
  <c r="G100" i="3"/>
  <c r="D99" i="3"/>
  <c r="E100" i="3"/>
  <c r="B124" i="41"/>
  <c r="Y124" i="41" s="1"/>
  <c r="K127" i="3"/>
  <c r="F123" i="41"/>
  <c r="O91" i="3"/>
  <c r="U95" i="3"/>
  <c r="Q97" i="3"/>
  <c r="R96" i="3"/>
  <c r="U95" i="19"/>
  <c r="Q97" i="19"/>
  <c r="R96" i="19"/>
  <c r="D114" i="19" l="1"/>
  <c r="M112" i="19"/>
  <c r="D124" i="41"/>
  <c r="C124" i="41"/>
  <c r="D112" i="43"/>
  <c r="E112" i="43"/>
  <c r="L122" i="41"/>
  <c r="I111" i="43"/>
  <c r="Q111" i="43"/>
  <c r="R111" i="43" s="1"/>
  <c r="M110" i="43"/>
  <c r="I110" i="43"/>
  <c r="H109" i="43"/>
  <c r="L109" i="43"/>
  <c r="K109" i="43" s="1"/>
  <c r="I113" i="19" s="1"/>
  <c r="M113" i="19" s="1"/>
  <c r="E115" i="19"/>
  <c r="C112" i="43"/>
  <c r="W112" i="43" s="1"/>
  <c r="F112" i="43"/>
  <c r="S112" i="43"/>
  <c r="T112" i="43" s="1"/>
  <c r="A113" i="43"/>
  <c r="S111" i="43"/>
  <c r="T111" i="43" s="1"/>
  <c r="C115" i="19"/>
  <c r="A115" i="19" s="1"/>
  <c r="I123" i="41"/>
  <c r="E123" i="41"/>
  <c r="H123" i="41" s="1"/>
  <c r="K123" i="41" s="1"/>
  <c r="G121" i="41"/>
  <c r="H122" i="41"/>
  <c r="K115" i="19"/>
  <c r="J121" i="41"/>
  <c r="F115" i="19"/>
  <c r="G115" i="19"/>
  <c r="F114" i="19"/>
  <c r="C128" i="3"/>
  <c r="A127" i="3"/>
  <c r="P124" i="41"/>
  <c r="Q124" i="41" s="1"/>
  <c r="R124" i="41"/>
  <c r="S124" i="41" s="1"/>
  <c r="H101" i="3"/>
  <c r="I100" i="3"/>
  <c r="M100" i="3" s="1"/>
  <c r="F101" i="3"/>
  <c r="G101" i="3"/>
  <c r="D100" i="3"/>
  <c r="E101" i="3"/>
  <c r="B125" i="41"/>
  <c r="Y125" i="41" s="1"/>
  <c r="K128" i="3"/>
  <c r="O92" i="3"/>
  <c r="U96" i="3"/>
  <c r="Q98" i="3"/>
  <c r="R97" i="3"/>
  <c r="U96" i="19"/>
  <c r="Q98" i="19"/>
  <c r="R97" i="19"/>
  <c r="C125" i="41" l="1"/>
  <c r="D125" i="41"/>
  <c r="D113" i="43"/>
  <c r="E113" i="43"/>
  <c r="Q112" i="43"/>
  <c r="R112" i="43" s="1"/>
  <c r="G112" i="43"/>
  <c r="I112" i="43" s="1"/>
  <c r="L112" i="43" s="1"/>
  <c r="K112" i="43" s="1"/>
  <c r="E124" i="41"/>
  <c r="E116" i="19"/>
  <c r="J112" i="43"/>
  <c r="H110" i="43"/>
  <c r="L110" i="43"/>
  <c r="K110" i="43" s="1"/>
  <c r="I114" i="19" s="1"/>
  <c r="M114" i="19" s="1"/>
  <c r="C116" i="19"/>
  <c r="A116" i="19" s="1"/>
  <c r="A114" i="43"/>
  <c r="E117" i="19"/>
  <c r="C113" i="43"/>
  <c r="W113" i="43" s="1"/>
  <c r="F113" i="43"/>
  <c r="F117" i="19" s="1"/>
  <c r="D115" i="19"/>
  <c r="J111" i="43"/>
  <c r="M111" i="43" s="1"/>
  <c r="H111" i="43"/>
  <c r="L111" i="43"/>
  <c r="K111" i="43" s="1"/>
  <c r="G123" i="41"/>
  <c r="I124" i="41"/>
  <c r="L123" i="41"/>
  <c r="J123" i="41" s="1"/>
  <c r="F124" i="41"/>
  <c r="G122" i="41"/>
  <c r="K122" i="41"/>
  <c r="J122" i="41" s="1"/>
  <c r="G116" i="19"/>
  <c r="F116" i="19"/>
  <c r="K116" i="19"/>
  <c r="C129" i="3"/>
  <c r="A128" i="3"/>
  <c r="P125" i="41"/>
  <c r="Q125" i="41" s="1"/>
  <c r="R125" i="41"/>
  <c r="S125" i="41" s="1"/>
  <c r="H102" i="3"/>
  <c r="I101" i="3"/>
  <c r="M101" i="3" s="1"/>
  <c r="F102" i="3"/>
  <c r="G102" i="3"/>
  <c r="D101" i="3"/>
  <c r="E102" i="3"/>
  <c r="B126" i="41"/>
  <c r="Y126" i="41" s="1"/>
  <c r="K129" i="3"/>
  <c r="O93" i="3"/>
  <c r="U97" i="3"/>
  <c r="Q99" i="3"/>
  <c r="R98" i="3"/>
  <c r="U97" i="19"/>
  <c r="Q99" i="19"/>
  <c r="Q100" i="19" s="1"/>
  <c r="Q101" i="19" s="1"/>
  <c r="Q102" i="19" s="1"/>
  <c r="Q103" i="19" s="1"/>
  <c r="Q104" i="19" s="1"/>
  <c r="Q105" i="19" s="1"/>
  <c r="Q106" i="19" s="1"/>
  <c r="Q107" i="19" s="1"/>
  <c r="Q108" i="19" s="1"/>
  <c r="Q109" i="19" s="1"/>
  <c r="Q110" i="19" s="1"/>
  <c r="Q111" i="19" s="1"/>
  <c r="Q112" i="19" s="1"/>
  <c r="Q113" i="19" s="1"/>
  <c r="Q114" i="19" s="1"/>
  <c r="Q115" i="19" s="1"/>
  <c r="Q116" i="19" s="1"/>
  <c r="Q117" i="19" s="1"/>
  <c r="Q118" i="19" s="1"/>
  <c r="Q119" i="19" s="1"/>
  <c r="Q120" i="19" s="1"/>
  <c r="Q121" i="19" s="1"/>
  <c r="Q122" i="19" s="1"/>
  <c r="Q123" i="19" s="1"/>
  <c r="Q124" i="19" s="1"/>
  <c r="Q125" i="19" s="1"/>
  <c r="Q126" i="19" s="1"/>
  <c r="Q127" i="19" s="1"/>
  <c r="Q128" i="19" s="1"/>
  <c r="Q129" i="19" s="1"/>
  <c r="Q130" i="19" s="1"/>
  <c r="Q131" i="19" s="1"/>
  <c r="Q132" i="19" s="1"/>
  <c r="Q133" i="19" s="1"/>
  <c r="Q134" i="19" s="1"/>
  <c r="Q135" i="19" s="1"/>
  <c r="Q136" i="19" s="1"/>
  <c r="Q137" i="19" s="1"/>
  <c r="Q138" i="19" s="1"/>
  <c r="Q139" i="19" s="1"/>
  <c r="Q140" i="19" s="1"/>
  <c r="Q141" i="19" s="1"/>
  <c r="Q142" i="19" s="1"/>
  <c r="Q143" i="19" s="1"/>
  <c r="Q144" i="19" s="1"/>
  <c r="Q145" i="19" s="1"/>
  <c r="Q146" i="19" s="1"/>
  <c r="Q147" i="19" s="1"/>
  <c r="Q148" i="19" s="1"/>
  <c r="Q149" i="19" s="1"/>
  <c r="Q150" i="19" s="1"/>
  <c r="Q151" i="19" s="1"/>
  <c r="Q152" i="19" s="1"/>
  <c r="Q153" i="19" s="1"/>
  <c r="Q154" i="19" s="1"/>
  <c r="Q155" i="19" s="1"/>
  <c r="Q156" i="19" s="1"/>
  <c r="Q157" i="19" s="1"/>
  <c r="Q158" i="19" s="1"/>
  <c r="Q159" i="19" s="1"/>
  <c r="Q160" i="19" s="1"/>
  <c r="Q161" i="19" s="1"/>
  <c r="Q162" i="19" s="1"/>
  <c r="Q163" i="19" s="1"/>
  <c r="Q164" i="19" s="1"/>
  <c r="Q165" i="19" s="1"/>
  <c r="Q166" i="19" s="1"/>
  <c r="Q167" i="19" s="1"/>
  <c r="Q168" i="19" s="1"/>
  <c r="Q169" i="19" s="1"/>
  <c r="Q170" i="19" s="1"/>
  <c r="Q171" i="19" s="1"/>
  <c r="Q172" i="19" s="1"/>
  <c r="Q173" i="19" s="1"/>
  <c r="Q174" i="19" s="1"/>
  <c r="Q175" i="19" s="1"/>
  <c r="Q176" i="19" s="1"/>
  <c r="Q177" i="19" s="1"/>
  <c r="Q178" i="19" s="1"/>
  <c r="Q179" i="19" s="1"/>
  <c r="Q180" i="19" s="1"/>
  <c r="Q181" i="19" s="1"/>
  <c r="Q182" i="19" s="1"/>
  <c r="Q183" i="19" s="1"/>
  <c r="Q184" i="19" s="1"/>
  <c r="Q185" i="19" s="1"/>
  <c r="Q186" i="19" s="1"/>
  <c r="Q187" i="19" s="1"/>
  <c r="Q188" i="19" s="1"/>
  <c r="Q189" i="19" s="1"/>
  <c r="Q190" i="19" s="1"/>
  <c r="Q191" i="19" s="1"/>
  <c r="Q192" i="19" s="1"/>
  <c r="Q193" i="19" s="1"/>
  <c r="Q194" i="19" s="1"/>
  <c r="Q195" i="19" s="1"/>
  <c r="Q196" i="19" s="1"/>
  <c r="Q197" i="19" s="1"/>
  <c r="Q198" i="19" s="1"/>
  <c r="Q199" i="19" s="1"/>
  <c r="Q200" i="19" s="1"/>
  <c r="Q201" i="19" s="1"/>
  <c r="Q202" i="19" s="1"/>
  <c r="R98" i="19"/>
  <c r="C126" i="41" l="1"/>
  <c r="D126" i="41"/>
  <c r="E114" i="43"/>
  <c r="D114" i="43"/>
  <c r="Q203" i="19"/>
  <c r="Q204" i="19" s="1"/>
  <c r="Q205" i="19" s="1"/>
  <c r="Q206" i="19" s="1"/>
  <c r="Q207" i="19" s="1"/>
  <c r="Q208" i="19" s="1"/>
  <c r="Q209" i="19" s="1"/>
  <c r="Q210" i="19" s="1"/>
  <c r="Q211" i="19" s="1"/>
  <c r="Q212" i="19" s="1"/>
  <c r="Q213" i="19" s="1"/>
  <c r="Q214" i="19" s="1"/>
  <c r="Q215" i="19" s="1"/>
  <c r="Q216" i="19" s="1"/>
  <c r="Q217" i="19" s="1"/>
  <c r="Q218" i="19" s="1"/>
  <c r="Q219" i="19" s="1"/>
  <c r="Q220" i="19" s="1"/>
  <c r="Q221" i="19" s="1"/>
  <c r="Q222" i="19" s="1"/>
  <c r="Q223" i="19" s="1"/>
  <c r="Q224" i="19" s="1"/>
  <c r="Q225" i="19" s="1"/>
  <c r="Q226" i="19" s="1"/>
  <c r="Q227" i="19" s="1"/>
  <c r="H112" i="43"/>
  <c r="M112" i="43"/>
  <c r="Q113" i="43"/>
  <c r="R113" i="43" s="1"/>
  <c r="G113" i="43"/>
  <c r="I113" i="43" s="1"/>
  <c r="H113" i="43" s="1"/>
  <c r="S113" i="43"/>
  <c r="T113" i="43" s="1"/>
  <c r="L124" i="41"/>
  <c r="L113" i="43"/>
  <c r="K113" i="43" s="1"/>
  <c r="A115" i="43"/>
  <c r="C114" i="43"/>
  <c r="W114" i="43" s="1"/>
  <c r="K118" i="19" s="1"/>
  <c r="Q114" i="43"/>
  <c r="R114" i="43" s="1"/>
  <c r="E118" i="19"/>
  <c r="F114" i="43"/>
  <c r="D116" i="19"/>
  <c r="C117" i="19"/>
  <c r="A117" i="19" s="1"/>
  <c r="I125" i="41"/>
  <c r="E125" i="41"/>
  <c r="F125" i="41"/>
  <c r="H124" i="41"/>
  <c r="K117" i="19"/>
  <c r="I115" i="19"/>
  <c r="M115" i="19" s="1"/>
  <c r="I116" i="19"/>
  <c r="M116" i="19" s="1"/>
  <c r="C130" i="3"/>
  <c r="A129" i="3"/>
  <c r="P126" i="41"/>
  <c r="Q126" i="41" s="1"/>
  <c r="R126" i="41"/>
  <c r="S126" i="41" s="1"/>
  <c r="H103" i="3"/>
  <c r="I102" i="3"/>
  <c r="M102" i="3" s="1"/>
  <c r="F103" i="3"/>
  <c r="G103" i="3"/>
  <c r="D102" i="3"/>
  <c r="E103" i="3"/>
  <c r="B127" i="41"/>
  <c r="Y127" i="41" s="1"/>
  <c r="K130" i="3"/>
  <c r="O94" i="3"/>
  <c r="R99" i="19"/>
  <c r="Q100" i="3"/>
  <c r="R99" i="3"/>
  <c r="U98" i="3"/>
  <c r="U98" i="19"/>
  <c r="C127" i="41" l="1"/>
  <c r="D127" i="41"/>
  <c r="E115" i="43"/>
  <c r="D115" i="43"/>
  <c r="J113" i="43"/>
  <c r="M113" i="43" s="1"/>
  <c r="S114" i="43"/>
  <c r="T114" i="43" s="1"/>
  <c r="J114" i="43" s="1"/>
  <c r="G114" i="43"/>
  <c r="I114" i="43" s="1"/>
  <c r="D117" i="19"/>
  <c r="A116" i="43"/>
  <c r="C115" i="43"/>
  <c r="W115" i="43" s="1"/>
  <c r="K119" i="19" s="1"/>
  <c r="F115" i="43"/>
  <c r="E119" i="19"/>
  <c r="E126" i="41"/>
  <c r="F126" i="41"/>
  <c r="I126" i="41"/>
  <c r="K124" i="41"/>
  <c r="J124" i="41" s="1"/>
  <c r="G124" i="41"/>
  <c r="L125" i="41"/>
  <c r="H125" i="41"/>
  <c r="F118" i="19"/>
  <c r="G117" i="19"/>
  <c r="C118" i="19"/>
  <c r="A118" i="19" s="1"/>
  <c r="C131" i="3"/>
  <c r="A130" i="3"/>
  <c r="P127" i="41"/>
  <c r="Q127" i="41" s="1"/>
  <c r="R127" i="41"/>
  <c r="S127" i="41" s="1"/>
  <c r="H104" i="3"/>
  <c r="I103" i="3"/>
  <c r="M103" i="3" s="1"/>
  <c r="F104" i="3"/>
  <c r="G104" i="3"/>
  <c r="D103" i="3"/>
  <c r="E104" i="3"/>
  <c r="B128" i="41"/>
  <c r="Y128" i="41" s="1"/>
  <c r="K131" i="3"/>
  <c r="U99" i="3"/>
  <c r="O95" i="3"/>
  <c r="R100" i="19"/>
  <c r="U99" i="19"/>
  <c r="Q101" i="3"/>
  <c r="R100" i="3"/>
  <c r="C128" i="41" l="1"/>
  <c r="D128" i="41"/>
  <c r="E116" i="43"/>
  <c r="D116" i="43"/>
  <c r="M114" i="43"/>
  <c r="G115" i="43"/>
  <c r="I115" i="43" s="1"/>
  <c r="Q115" i="43"/>
  <c r="R115" i="43" s="1"/>
  <c r="S115" i="43"/>
  <c r="T115" i="43" s="1"/>
  <c r="G118" i="19"/>
  <c r="E127" i="41"/>
  <c r="H114" i="43"/>
  <c r="L114" i="43"/>
  <c r="K114" i="43" s="1"/>
  <c r="A117" i="43"/>
  <c r="F116" i="43"/>
  <c r="C116" i="43"/>
  <c r="W116" i="43" s="1"/>
  <c r="K120" i="19" s="1"/>
  <c r="E120" i="19"/>
  <c r="I127" i="41"/>
  <c r="L126" i="41"/>
  <c r="H126" i="41"/>
  <c r="F127" i="41"/>
  <c r="L127" i="41" s="1"/>
  <c r="K125" i="41"/>
  <c r="J125" i="41" s="1"/>
  <c r="G125" i="41"/>
  <c r="F119" i="19"/>
  <c r="D118" i="19"/>
  <c r="I117" i="19"/>
  <c r="M117" i="19" s="1"/>
  <c r="C119" i="19"/>
  <c r="A119" i="19" s="1"/>
  <c r="C132" i="3"/>
  <c r="A131" i="3"/>
  <c r="P128" i="41"/>
  <c r="Q128" i="41" s="1"/>
  <c r="R128" i="41"/>
  <c r="S128" i="41" s="1"/>
  <c r="H105" i="3"/>
  <c r="I104" i="3"/>
  <c r="M104" i="3" s="1"/>
  <c r="F105" i="3"/>
  <c r="G105" i="3"/>
  <c r="D104" i="3"/>
  <c r="E105" i="3"/>
  <c r="K132" i="3"/>
  <c r="B129" i="41"/>
  <c r="Y129" i="41" s="1"/>
  <c r="O97" i="3"/>
  <c r="U100" i="19"/>
  <c r="R101" i="19"/>
  <c r="O98" i="3"/>
  <c r="U100" i="3"/>
  <c r="Q102" i="3"/>
  <c r="R101" i="3"/>
  <c r="C129" i="41" l="1"/>
  <c r="D129" i="41"/>
  <c r="E117" i="43"/>
  <c r="D117" i="43"/>
  <c r="G116" i="43"/>
  <c r="J115" i="43"/>
  <c r="M115" i="43" s="1"/>
  <c r="S116" i="43"/>
  <c r="T116" i="43" s="1"/>
  <c r="Q116" i="43"/>
  <c r="R116" i="43" s="1"/>
  <c r="J116" i="43" s="1"/>
  <c r="M116" i="43" s="1"/>
  <c r="I116" i="43"/>
  <c r="A118" i="43"/>
  <c r="F117" i="43"/>
  <c r="C117" i="43"/>
  <c r="W117" i="43" s="1"/>
  <c r="K121" i="19" s="1"/>
  <c r="G117" i="43"/>
  <c r="H115" i="43"/>
  <c r="L115" i="43"/>
  <c r="K115" i="43" s="1"/>
  <c r="E128" i="41"/>
  <c r="F128" i="41"/>
  <c r="H127" i="41"/>
  <c r="K127" i="41" s="1"/>
  <c r="J127" i="41" s="1"/>
  <c r="K126" i="41"/>
  <c r="J126" i="41" s="1"/>
  <c r="G126" i="41"/>
  <c r="I128" i="41"/>
  <c r="L128" i="41" s="1"/>
  <c r="H128" i="41"/>
  <c r="C120" i="19"/>
  <c r="A120" i="19" s="1"/>
  <c r="D119" i="19"/>
  <c r="F120" i="19"/>
  <c r="G120" i="19"/>
  <c r="I118" i="19"/>
  <c r="M118" i="19" s="1"/>
  <c r="G119" i="19"/>
  <c r="C133" i="3"/>
  <c r="A132" i="3"/>
  <c r="E129" i="41"/>
  <c r="F129" i="41"/>
  <c r="H106" i="3"/>
  <c r="I105" i="3"/>
  <c r="M105" i="3" s="1"/>
  <c r="F106" i="3"/>
  <c r="G106" i="3"/>
  <c r="D105" i="3"/>
  <c r="E106" i="3"/>
  <c r="K133" i="3"/>
  <c r="B130" i="41"/>
  <c r="Y130" i="41" s="1"/>
  <c r="O96" i="3"/>
  <c r="R102" i="19"/>
  <c r="U101" i="19"/>
  <c r="U101" i="3"/>
  <c r="Q103" i="3"/>
  <c r="R102" i="3"/>
  <c r="D130" i="41" l="1"/>
  <c r="C130" i="41"/>
  <c r="E118" i="43"/>
  <c r="D118" i="43"/>
  <c r="P129" i="41"/>
  <c r="Q129" i="41" s="1"/>
  <c r="Q117" i="43"/>
  <c r="R117" i="43" s="1"/>
  <c r="I117" i="43"/>
  <c r="E121" i="19"/>
  <c r="A119" i="43"/>
  <c r="E122" i="19"/>
  <c r="C118" i="43"/>
  <c r="W118" i="43" s="1"/>
  <c r="K122" i="19" s="1"/>
  <c r="Q118" i="43"/>
  <c r="R118" i="43" s="1"/>
  <c r="H116" i="43"/>
  <c r="L116" i="43"/>
  <c r="K116" i="43" s="1"/>
  <c r="S117" i="43"/>
  <c r="T117" i="43" s="1"/>
  <c r="J117" i="43" s="1"/>
  <c r="M117" i="43" s="1"/>
  <c r="G127" i="41"/>
  <c r="H129" i="41"/>
  <c r="R129" i="41"/>
  <c r="S129" i="41" s="1"/>
  <c r="I129" i="41" s="1"/>
  <c r="L129" i="41" s="1"/>
  <c r="K128" i="41"/>
  <c r="J128" i="41" s="1"/>
  <c r="G128" i="41"/>
  <c r="D120" i="19"/>
  <c r="I119" i="19"/>
  <c r="M119" i="19" s="1"/>
  <c r="G121" i="19"/>
  <c r="C121" i="19"/>
  <c r="A121" i="19" s="1"/>
  <c r="C134" i="3"/>
  <c r="A133" i="3"/>
  <c r="P130" i="41"/>
  <c r="Q130" i="41" s="1"/>
  <c r="R130" i="41"/>
  <c r="S130" i="41" s="1"/>
  <c r="H107" i="3"/>
  <c r="I106" i="3"/>
  <c r="M106" i="3" s="1"/>
  <c r="F107" i="3"/>
  <c r="G107" i="3"/>
  <c r="D106" i="3"/>
  <c r="E107" i="3"/>
  <c r="K134" i="3"/>
  <c r="F130" i="41"/>
  <c r="B131" i="41"/>
  <c r="Y131" i="41" s="1"/>
  <c r="O99" i="3"/>
  <c r="R103" i="19"/>
  <c r="U102" i="19"/>
  <c r="U102" i="3"/>
  <c r="Q104" i="3"/>
  <c r="R103" i="3"/>
  <c r="D131" i="41" l="1"/>
  <c r="C131" i="41"/>
  <c r="E119" i="43"/>
  <c r="D119" i="43"/>
  <c r="S118" i="43"/>
  <c r="T118" i="43" s="1"/>
  <c r="J118" i="43" s="1"/>
  <c r="G118" i="43"/>
  <c r="F118" i="43"/>
  <c r="I118" i="43" s="1"/>
  <c r="H118" i="43"/>
  <c r="L118" i="43"/>
  <c r="K118" i="43" s="1"/>
  <c r="A120" i="43"/>
  <c r="C119" i="43"/>
  <c r="W119" i="43"/>
  <c r="K123" i="19" s="1"/>
  <c r="F119" i="43"/>
  <c r="E123" i="19"/>
  <c r="H117" i="43"/>
  <c r="L117" i="43"/>
  <c r="K117" i="43" s="1"/>
  <c r="I130" i="41"/>
  <c r="E130" i="41"/>
  <c r="H130" i="41" s="1"/>
  <c r="G129" i="41"/>
  <c r="K129" i="41"/>
  <c r="J129" i="41" s="1"/>
  <c r="G122" i="19"/>
  <c r="C122" i="19"/>
  <c r="A122" i="19" s="1"/>
  <c r="F121" i="19"/>
  <c r="D121" i="19"/>
  <c r="I120" i="19"/>
  <c r="M120" i="19" s="1"/>
  <c r="C135" i="3"/>
  <c r="A134" i="3"/>
  <c r="R131" i="41"/>
  <c r="S131" i="41" s="1"/>
  <c r="P131" i="41"/>
  <c r="H108" i="3"/>
  <c r="I107" i="3"/>
  <c r="M107" i="3" s="1"/>
  <c r="F108" i="3"/>
  <c r="G108" i="3"/>
  <c r="D107" i="3"/>
  <c r="E108" i="3"/>
  <c r="K135" i="3"/>
  <c r="Q131" i="41"/>
  <c r="I131" i="41" s="1"/>
  <c r="E131" i="41"/>
  <c r="B132" i="41"/>
  <c r="Y132" i="41" s="1"/>
  <c r="O100" i="3"/>
  <c r="R104" i="19"/>
  <c r="U103" i="19"/>
  <c r="U103" i="3"/>
  <c r="Q105" i="3"/>
  <c r="R104" i="3"/>
  <c r="C132" i="41" l="1"/>
  <c r="D132" i="41"/>
  <c r="E120" i="43"/>
  <c r="D120" i="43"/>
  <c r="F122" i="19"/>
  <c r="M118" i="43"/>
  <c r="G119" i="43"/>
  <c r="I119" i="43" s="1"/>
  <c r="S119" i="43"/>
  <c r="T119" i="43" s="1"/>
  <c r="Q119" i="43"/>
  <c r="R119" i="43" s="1"/>
  <c r="J119" i="43" s="1"/>
  <c r="M119" i="43" s="1"/>
  <c r="A121" i="43"/>
  <c r="S120" i="43"/>
  <c r="T120" i="43" s="1"/>
  <c r="F120" i="43"/>
  <c r="G120" i="43"/>
  <c r="C120" i="43"/>
  <c r="W120" i="43" s="1"/>
  <c r="K124" i="19" s="1"/>
  <c r="G130" i="41"/>
  <c r="K130" i="41"/>
  <c r="L130" i="41"/>
  <c r="F131" i="41"/>
  <c r="L131" i="41" s="1"/>
  <c r="D122" i="19"/>
  <c r="C123" i="19"/>
  <c r="A123" i="19" s="1"/>
  <c r="F123" i="19"/>
  <c r="I121" i="19"/>
  <c r="M121" i="19" s="1"/>
  <c r="C136" i="3"/>
  <c r="A135" i="3"/>
  <c r="P132" i="41"/>
  <c r="Q132" i="41" s="1"/>
  <c r="R132" i="41"/>
  <c r="S132" i="41" s="1"/>
  <c r="H109" i="3"/>
  <c r="I108" i="3"/>
  <c r="M108" i="3" s="1"/>
  <c r="F109" i="3"/>
  <c r="G109" i="3"/>
  <c r="D108" i="3"/>
  <c r="E109" i="3"/>
  <c r="K136" i="3"/>
  <c r="F132" i="41"/>
  <c r="B133" i="41"/>
  <c r="Y133" i="41" s="1"/>
  <c r="E132" i="41"/>
  <c r="O101" i="3"/>
  <c r="R105" i="19"/>
  <c r="U104" i="19"/>
  <c r="U104" i="3"/>
  <c r="Q106" i="3"/>
  <c r="R105" i="3"/>
  <c r="C133" i="41" l="1"/>
  <c r="D133" i="41"/>
  <c r="E121" i="43"/>
  <c r="D121" i="43"/>
  <c r="J130" i="41"/>
  <c r="G123" i="19"/>
  <c r="I120" i="43"/>
  <c r="H120" i="43" s="1"/>
  <c r="Q120" i="43"/>
  <c r="R120" i="43" s="1"/>
  <c r="J120" i="43" s="1"/>
  <c r="M120" i="43"/>
  <c r="E124" i="19"/>
  <c r="A122" i="43"/>
  <c r="F121" i="43"/>
  <c r="E125" i="19"/>
  <c r="C121" i="43"/>
  <c r="W121" i="43"/>
  <c r="K125" i="19" s="1"/>
  <c r="G121" i="43"/>
  <c r="S121" i="43"/>
  <c r="T121" i="43" s="1"/>
  <c r="H119" i="43"/>
  <c r="L119" i="43"/>
  <c r="K119" i="43" s="1"/>
  <c r="H132" i="41"/>
  <c r="I132" i="41"/>
  <c r="L132" i="41" s="1"/>
  <c r="G132" i="41"/>
  <c r="K132" i="41"/>
  <c r="J132" i="41" s="1"/>
  <c r="H131" i="41"/>
  <c r="D123" i="19"/>
  <c r="C124" i="19"/>
  <c r="A124" i="19" s="1"/>
  <c r="I122" i="19"/>
  <c r="M122" i="19" s="1"/>
  <c r="G124" i="19"/>
  <c r="C137" i="3"/>
  <c r="A136" i="3"/>
  <c r="R133" i="41"/>
  <c r="S133" i="41" s="1"/>
  <c r="P133" i="41"/>
  <c r="H110" i="3"/>
  <c r="I109" i="3"/>
  <c r="F110" i="3"/>
  <c r="G110" i="3"/>
  <c r="D109" i="3"/>
  <c r="E110" i="3"/>
  <c r="B134" i="41"/>
  <c r="Y134" i="41" s="1"/>
  <c r="K137" i="3"/>
  <c r="Q133" i="41"/>
  <c r="I133" i="41" s="1"/>
  <c r="F133" i="41"/>
  <c r="E133" i="41"/>
  <c r="O102" i="3"/>
  <c r="R106" i="19"/>
  <c r="U105" i="19"/>
  <c r="U105" i="3"/>
  <c r="Q107" i="3"/>
  <c r="R106" i="3"/>
  <c r="C134" i="41" l="1"/>
  <c r="D134" i="41"/>
  <c r="E122" i="43"/>
  <c r="D122" i="43"/>
  <c r="M109" i="3"/>
  <c r="L120" i="43"/>
  <c r="K120" i="43" s="1"/>
  <c r="I121" i="43"/>
  <c r="Q121" i="43"/>
  <c r="R121" i="43" s="1"/>
  <c r="J121" i="43" s="1"/>
  <c r="M121" i="43" s="1"/>
  <c r="A123" i="43"/>
  <c r="C122" i="43"/>
  <c r="W122" i="43" s="1"/>
  <c r="K126" i="19" s="1"/>
  <c r="Q122" i="43"/>
  <c r="R122" i="43" s="1"/>
  <c r="E126" i="19"/>
  <c r="H133" i="41"/>
  <c r="L133" i="41"/>
  <c r="G133" i="41"/>
  <c r="K133" i="41"/>
  <c r="J133" i="41" s="1"/>
  <c r="G131" i="41"/>
  <c r="K131" i="41"/>
  <c r="J131" i="41" s="1"/>
  <c r="D124" i="19"/>
  <c r="G125" i="19"/>
  <c r="F125" i="19"/>
  <c r="C125" i="19"/>
  <c r="A125" i="19" s="1"/>
  <c r="I123" i="19"/>
  <c r="M123" i="19" s="1"/>
  <c r="F124" i="19"/>
  <c r="C138" i="3"/>
  <c r="A137" i="3"/>
  <c r="R134" i="41"/>
  <c r="S134" i="41" s="1"/>
  <c r="P134" i="41"/>
  <c r="Q134" i="41" s="1"/>
  <c r="H111" i="3"/>
  <c r="I110" i="3"/>
  <c r="M110" i="3" s="1"/>
  <c r="F111" i="3"/>
  <c r="G111" i="3"/>
  <c r="D110" i="3"/>
  <c r="E111" i="3"/>
  <c r="B135" i="41"/>
  <c r="Y135" i="41" s="1"/>
  <c r="K138" i="3"/>
  <c r="F134" i="41"/>
  <c r="E134" i="41"/>
  <c r="O103" i="3"/>
  <c r="R107" i="19"/>
  <c r="U106" i="19"/>
  <c r="U106" i="3"/>
  <c r="Q108" i="3"/>
  <c r="R107" i="3"/>
  <c r="C135" i="41" l="1"/>
  <c r="D135" i="41"/>
  <c r="E123" i="43"/>
  <c r="D123" i="43"/>
  <c r="G122" i="43"/>
  <c r="S122" i="43"/>
  <c r="T122" i="43" s="1"/>
  <c r="F122" i="43"/>
  <c r="I122" i="43" s="1"/>
  <c r="J122" i="43"/>
  <c r="A124" i="43"/>
  <c r="C123" i="43"/>
  <c r="W123" i="43" s="1"/>
  <c r="K127" i="19" s="1"/>
  <c r="E127" i="19"/>
  <c r="Q123" i="43"/>
  <c r="R123" i="43" s="1"/>
  <c r="S123" i="43"/>
  <c r="T123" i="43" s="1"/>
  <c r="G123" i="43"/>
  <c r="L121" i="43"/>
  <c r="K121" i="43" s="1"/>
  <c r="I125" i="19" s="1"/>
  <c r="M125" i="19" s="1"/>
  <c r="H121" i="43"/>
  <c r="H134" i="41"/>
  <c r="I134" i="41"/>
  <c r="L134" i="41" s="1"/>
  <c r="K134" i="41"/>
  <c r="J134" i="41" s="1"/>
  <c r="G134" i="41"/>
  <c r="D125" i="19"/>
  <c r="C126" i="19"/>
  <c r="A126" i="19" s="1"/>
  <c r="G126" i="19"/>
  <c r="I124" i="19"/>
  <c r="M124" i="19" s="1"/>
  <c r="C139" i="3"/>
  <c r="A138" i="3"/>
  <c r="R135" i="41"/>
  <c r="S135" i="41" s="1"/>
  <c r="P135" i="41"/>
  <c r="Q135" i="41" s="1"/>
  <c r="H112" i="3"/>
  <c r="I111" i="3"/>
  <c r="F112" i="3"/>
  <c r="G112" i="3"/>
  <c r="D111" i="3"/>
  <c r="E112" i="3"/>
  <c r="B136" i="41"/>
  <c r="Y136" i="41" s="1"/>
  <c r="K139" i="3"/>
  <c r="F135" i="41"/>
  <c r="E135" i="41"/>
  <c r="H135" i="41" s="1"/>
  <c r="G135" i="41" s="1"/>
  <c r="O104" i="3"/>
  <c r="R108" i="19"/>
  <c r="U107" i="19"/>
  <c r="U107" i="3"/>
  <c r="Q109" i="3"/>
  <c r="R108" i="3"/>
  <c r="C136" i="41" l="1"/>
  <c r="D136" i="41"/>
  <c r="D124" i="43"/>
  <c r="E124" i="43"/>
  <c r="M111" i="3"/>
  <c r="M122" i="43"/>
  <c r="F123" i="43"/>
  <c r="I123" i="43" s="1"/>
  <c r="F126" i="19"/>
  <c r="H123" i="43"/>
  <c r="L123" i="43"/>
  <c r="K123" i="43" s="1"/>
  <c r="J123" i="43"/>
  <c r="A125" i="43"/>
  <c r="C124" i="43"/>
  <c r="W124" i="43" s="1"/>
  <c r="K128" i="19" s="1"/>
  <c r="G124" i="43"/>
  <c r="Q124" i="43"/>
  <c r="R124" i="43" s="1"/>
  <c r="L122" i="43"/>
  <c r="K122" i="43" s="1"/>
  <c r="H122" i="43"/>
  <c r="I135" i="41"/>
  <c r="L135" i="41"/>
  <c r="K135" i="41"/>
  <c r="D126" i="19"/>
  <c r="C127" i="19"/>
  <c r="A127" i="19" s="1"/>
  <c r="G127" i="19"/>
  <c r="C140" i="3"/>
  <c r="A139" i="3"/>
  <c r="E136" i="41"/>
  <c r="F136" i="41"/>
  <c r="H113" i="3"/>
  <c r="I112" i="3"/>
  <c r="M112" i="3" s="1"/>
  <c r="F113" i="3"/>
  <c r="G113" i="3"/>
  <c r="D112" i="3"/>
  <c r="E113" i="3"/>
  <c r="B137" i="41"/>
  <c r="Y137" i="41" s="1"/>
  <c r="K140" i="3"/>
  <c r="U108" i="19"/>
  <c r="R109" i="19"/>
  <c r="U108" i="3"/>
  <c r="Q110" i="3"/>
  <c r="R109" i="3"/>
  <c r="C137" i="41" l="1"/>
  <c r="D137" i="41"/>
  <c r="D125" i="43"/>
  <c r="E125" i="43"/>
  <c r="J135" i="41"/>
  <c r="M123" i="43"/>
  <c r="F124" i="43"/>
  <c r="I124" i="43" s="1"/>
  <c r="E128" i="19"/>
  <c r="S124" i="43"/>
  <c r="T124" i="43" s="1"/>
  <c r="J124" i="43" s="1"/>
  <c r="M124" i="43" s="1"/>
  <c r="A126" i="43"/>
  <c r="C125" i="43"/>
  <c r="W125" i="43" s="1"/>
  <c r="K129" i="19" s="1"/>
  <c r="Q125" i="43"/>
  <c r="R125" i="43" s="1"/>
  <c r="E129" i="19"/>
  <c r="P136" i="41"/>
  <c r="Q136" i="41" s="1"/>
  <c r="H136" i="41"/>
  <c r="R136" i="41"/>
  <c r="S136" i="41" s="1"/>
  <c r="I136" i="41" s="1"/>
  <c r="L136" i="41" s="1"/>
  <c r="G128" i="19"/>
  <c r="D127" i="19"/>
  <c r="F128" i="19"/>
  <c r="F127" i="19"/>
  <c r="C128" i="19"/>
  <c r="A128" i="19" s="1"/>
  <c r="I126" i="19"/>
  <c r="M126" i="19" s="1"/>
  <c r="C141" i="3"/>
  <c r="A140" i="3"/>
  <c r="P137" i="41"/>
  <c r="Q137" i="41" s="1"/>
  <c r="R137" i="41"/>
  <c r="S137" i="41" s="1"/>
  <c r="H114" i="3"/>
  <c r="I113" i="3"/>
  <c r="F114" i="3"/>
  <c r="G114" i="3"/>
  <c r="D113" i="3"/>
  <c r="E114" i="3"/>
  <c r="B138" i="41"/>
  <c r="Y138" i="41" s="1"/>
  <c r="K141" i="3"/>
  <c r="F137" i="41"/>
  <c r="O105" i="3"/>
  <c r="R110" i="19"/>
  <c r="U109" i="19"/>
  <c r="O107" i="3"/>
  <c r="U109" i="3"/>
  <c r="Q111" i="3"/>
  <c r="R110" i="3"/>
  <c r="D138" i="41" l="1"/>
  <c r="C138" i="41"/>
  <c r="D126" i="43"/>
  <c r="E126" i="43"/>
  <c r="M113" i="3"/>
  <c r="E137" i="41"/>
  <c r="H124" i="43"/>
  <c r="L124" i="43"/>
  <c r="K124" i="43" s="1"/>
  <c r="G125" i="43"/>
  <c r="G129" i="19" s="1"/>
  <c r="S125" i="43"/>
  <c r="T125" i="43" s="1"/>
  <c r="J125" i="43" s="1"/>
  <c r="F125" i="43"/>
  <c r="A127" i="43"/>
  <c r="Q126" i="43"/>
  <c r="R126" i="43" s="1"/>
  <c r="G126" i="43"/>
  <c r="C126" i="43"/>
  <c r="W126" i="43" s="1"/>
  <c r="F126" i="43"/>
  <c r="I126" i="43" s="1"/>
  <c r="I137" i="41"/>
  <c r="L137" i="41" s="1"/>
  <c r="H137" i="41"/>
  <c r="K136" i="41"/>
  <c r="J136" i="41" s="1"/>
  <c r="G136" i="41"/>
  <c r="D128" i="19"/>
  <c r="C129" i="19"/>
  <c r="A129" i="19" s="1"/>
  <c r="I127" i="19"/>
  <c r="M127" i="19" s="1"/>
  <c r="I128" i="19"/>
  <c r="M128" i="19" s="1"/>
  <c r="C142" i="3"/>
  <c r="A141" i="3"/>
  <c r="P138" i="41"/>
  <c r="Q138" i="41" s="1"/>
  <c r="R138" i="41"/>
  <c r="S138" i="41" s="1"/>
  <c r="H115" i="3"/>
  <c r="I114" i="3"/>
  <c r="M114" i="3" s="1"/>
  <c r="F115" i="3"/>
  <c r="G115" i="3"/>
  <c r="D114" i="3"/>
  <c r="E115" i="3"/>
  <c r="B139" i="41"/>
  <c r="Y139" i="41" s="1"/>
  <c r="K142" i="3"/>
  <c r="F138" i="41"/>
  <c r="O106" i="3"/>
  <c r="R111" i="19"/>
  <c r="U110" i="19"/>
  <c r="O108" i="3"/>
  <c r="U110" i="3"/>
  <c r="Q112" i="3"/>
  <c r="R111" i="3"/>
  <c r="C139" i="41" l="1"/>
  <c r="D139" i="41"/>
  <c r="D127" i="43"/>
  <c r="E127" i="43"/>
  <c r="M125" i="43"/>
  <c r="I125" i="43"/>
  <c r="F129" i="19"/>
  <c r="H126" i="43"/>
  <c r="L126" i="43"/>
  <c r="K126" i="43" s="1"/>
  <c r="S126" i="43"/>
  <c r="T126" i="43" s="1"/>
  <c r="J126" i="43" s="1"/>
  <c r="M126" i="43" s="1"/>
  <c r="E130" i="19"/>
  <c r="A128" i="43"/>
  <c r="Q127" i="43"/>
  <c r="R127" i="43" s="1"/>
  <c r="G127" i="43"/>
  <c r="C127" i="43"/>
  <c r="W127" i="43" s="1"/>
  <c r="I138" i="41"/>
  <c r="E138" i="41"/>
  <c r="H138" i="41" s="1"/>
  <c r="K138" i="41" s="1"/>
  <c r="G137" i="41"/>
  <c r="K137" i="41"/>
  <c r="J137" i="41" s="1"/>
  <c r="C130" i="19"/>
  <c r="A130" i="19" s="1"/>
  <c r="G130" i="19"/>
  <c r="K130" i="19"/>
  <c r="D129" i="19"/>
  <c r="F130" i="19"/>
  <c r="C143" i="3"/>
  <c r="A142" i="3"/>
  <c r="P139" i="41"/>
  <c r="Q139" i="41" s="1"/>
  <c r="R139" i="41"/>
  <c r="S139" i="41" s="1"/>
  <c r="H116" i="3"/>
  <c r="I115" i="3"/>
  <c r="F116" i="3"/>
  <c r="G116" i="3"/>
  <c r="D115" i="3"/>
  <c r="E116" i="3"/>
  <c r="B140" i="41"/>
  <c r="Y140" i="41" s="1"/>
  <c r="K143" i="3"/>
  <c r="R112" i="19"/>
  <c r="U111" i="19"/>
  <c r="U111" i="3"/>
  <c r="Q113" i="3"/>
  <c r="R112" i="3"/>
  <c r="D140" i="41" l="1"/>
  <c r="C140" i="41"/>
  <c r="E128" i="43"/>
  <c r="D128" i="43"/>
  <c r="M115" i="3"/>
  <c r="G138" i="41"/>
  <c r="F127" i="43"/>
  <c r="I127" i="43" s="1"/>
  <c r="L125" i="43"/>
  <c r="K125" i="43" s="1"/>
  <c r="H125" i="43"/>
  <c r="S127" i="43"/>
  <c r="T127" i="43" s="1"/>
  <c r="J127" i="43" s="1"/>
  <c r="M127" i="43" s="1"/>
  <c r="A129" i="43"/>
  <c r="F128" i="43"/>
  <c r="E132" i="19"/>
  <c r="C128" i="43"/>
  <c r="W128" i="43" s="1"/>
  <c r="E131" i="19"/>
  <c r="C131" i="19"/>
  <c r="A131" i="19" s="1"/>
  <c r="E139" i="41"/>
  <c r="F139" i="41"/>
  <c r="L138" i="41"/>
  <c r="J138" i="41" s="1"/>
  <c r="I139" i="41"/>
  <c r="L139" i="41" s="1"/>
  <c r="D130" i="19"/>
  <c r="K131" i="19"/>
  <c r="G131" i="19"/>
  <c r="I129" i="19"/>
  <c r="M129" i="19" s="1"/>
  <c r="I130" i="19"/>
  <c r="M130" i="19" s="1"/>
  <c r="C144" i="3"/>
  <c r="A143" i="3"/>
  <c r="R140" i="41"/>
  <c r="S140" i="41" s="1"/>
  <c r="P140" i="41"/>
  <c r="Q140" i="41" s="1"/>
  <c r="H117" i="3"/>
  <c r="I116" i="3"/>
  <c r="M116" i="3" s="1"/>
  <c r="F117" i="3"/>
  <c r="G117" i="3"/>
  <c r="D116" i="3"/>
  <c r="E117" i="3"/>
  <c r="B141" i="41"/>
  <c r="Y141" i="41" s="1"/>
  <c r="K144" i="3"/>
  <c r="F140" i="41"/>
  <c r="E140" i="41"/>
  <c r="U112" i="19"/>
  <c r="R113" i="19"/>
  <c r="U112" i="3"/>
  <c r="Q114" i="3"/>
  <c r="R113" i="3"/>
  <c r="C141" i="41" l="1"/>
  <c r="D141" i="41"/>
  <c r="E129" i="43"/>
  <c r="D129" i="43"/>
  <c r="Q128" i="43"/>
  <c r="R128" i="43" s="1"/>
  <c r="I140" i="41"/>
  <c r="C132" i="19"/>
  <c r="A132" i="19" s="1"/>
  <c r="D131" i="19"/>
  <c r="S128" i="43"/>
  <c r="T128" i="43" s="1"/>
  <c r="J128" i="43" s="1"/>
  <c r="G128" i="43"/>
  <c r="C129" i="43"/>
  <c r="W129" i="43" s="1"/>
  <c r="K133" i="19" s="1"/>
  <c r="E133" i="19"/>
  <c r="Q129" i="43"/>
  <c r="R129" i="43" s="1"/>
  <c r="G129" i="43"/>
  <c r="A130" i="43"/>
  <c r="H127" i="43"/>
  <c r="L127" i="43"/>
  <c r="K127" i="43" s="1"/>
  <c r="H139" i="41"/>
  <c r="H140" i="41"/>
  <c r="L140" i="41"/>
  <c r="G140" i="41"/>
  <c r="K140" i="41"/>
  <c r="J140" i="41" s="1"/>
  <c r="K132" i="19"/>
  <c r="F132" i="19"/>
  <c r="F131" i="19"/>
  <c r="C145" i="3"/>
  <c r="A144" i="3"/>
  <c r="P141" i="41"/>
  <c r="Q141" i="41" s="1"/>
  <c r="R141" i="41"/>
  <c r="S141" i="41" s="1"/>
  <c r="H118" i="3"/>
  <c r="I117" i="3"/>
  <c r="F118" i="3"/>
  <c r="G118" i="3"/>
  <c r="D117" i="3"/>
  <c r="E118" i="3"/>
  <c r="B142" i="41"/>
  <c r="Y142" i="41" s="1"/>
  <c r="K145" i="3"/>
  <c r="O109" i="3"/>
  <c r="U113" i="19"/>
  <c r="R114" i="19"/>
  <c r="Q115" i="3"/>
  <c r="R114" i="3"/>
  <c r="U113" i="3"/>
  <c r="C142" i="41" l="1"/>
  <c r="D142" i="41"/>
  <c r="E130" i="43"/>
  <c r="D130" i="43"/>
  <c r="M117" i="3"/>
  <c r="D132" i="19"/>
  <c r="M128" i="43"/>
  <c r="S129" i="43"/>
  <c r="T129" i="43" s="1"/>
  <c r="J129" i="43" s="1"/>
  <c r="C133" i="19"/>
  <c r="A133" i="19" s="1"/>
  <c r="G132" i="19"/>
  <c r="I128" i="43"/>
  <c r="F129" i="43"/>
  <c r="F133" i="19" s="1"/>
  <c r="E134" i="19"/>
  <c r="C130" i="43"/>
  <c r="F130" i="43"/>
  <c r="W130" i="43"/>
  <c r="A131" i="43"/>
  <c r="S130" i="43"/>
  <c r="T130" i="43" s="1"/>
  <c r="G139" i="41"/>
  <c r="K139" i="41"/>
  <c r="J139" i="41" s="1"/>
  <c r="E141" i="41"/>
  <c r="F141" i="41"/>
  <c r="I141" i="41"/>
  <c r="I131" i="19"/>
  <c r="M131" i="19" s="1"/>
  <c r="G133" i="19"/>
  <c r="C146" i="3"/>
  <c r="A145" i="3"/>
  <c r="P142" i="41"/>
  <c r="Q142" i="41" s="1"/>
  <c r="R142" i="41"/>
  <c r="S142" i="41" s="1"/>
  <c r="H119" i="3"/>
  <c r="I118" i="3"/>
  <c r="M118" i="3" s="1"/>
  <c r="F119" i="3"/>
  <c r="G119" i="3"/>
  <c r="D118" i="3"/>
  <c r="E119" i="3"/>
  <c r="B143" i="41"/>
  <c r="Y143" i="41" s="1"/>
  <c r="K146" i="3"/>
  <c r="O110" i="3"/>
  <c r="U114" i="19"/>
  <c r="R115" i="19"/>
  <c r="U114" i="3"/>
  <c r="Q116" i="3"/>
  <c r="R115" i="3"/>
  <c r="C143" i="41" l="1"/>
  <c r="D143" i="41"/>
  <c r="D131" i="43"/>
  <c r="E131" i="43"/>
  <c r="C134" i="19"/>
  <c r="A134" i="19" s="1"/>
  <c r="L141" i="41"/>
  <c r="D133" i="19"/>
  <c r="G130" i="43"/>
  <c r="G134" i="19" s="1"/>
  <c r="H141" i="41"/>
  <c r="I130" i="43"/>
  <c r="Q131" i="43"/>
  <c r="R131" i="43" s="1"/>
  <c r="C131" i="43"/>
  <c r="W131" i="43" s="1"/>
  <c r="A132" i="43"/>
  <c r="G131" i="43"/>
  <c r="Q130" i="43"/>
  <c r="R130" i="43" s="1"/>
  <c r="J130" i="43" s="1"/>
  <c r="M130" i="43" s="1"/>
  <c r="M129" i="43"/>
  <c r="I129" i="43"/>
  <c r="H128" i="43"/>
  <c r="L128" i="43"/>
  <c r="K128" i="43" s="1"/>
  <c r="I132" i="19" s="1"/>
  <c r="M132" i="19" s="1"/>
  <c r="E142" i="41"/>
  <c r="F142" i="41"/>
  <c r="G141" i="41"/>
  <c r="K141" i="41"/>
  <c r="J141" i="41" s="1"/>
  <c r="I142" i="41"/>
  <c r="K134" i="19"/>
  <c r="C147" i="3"/>
  <c r="A146" i="3"/>
  <c r="D134" i="19"/>
  <c r="P143" i="41"/>
  <c r="Q143" i="41" s="1"/>
  <c r="R143" i="41"/>
  <c r="S143" i="41" s="1"/>
  <c r="H120" i="3"/>
  <c r="I119" i="3"/>
  <c r="M119" i="3" s="1"/>
  <c r="F120" i="3"/>
  <c r="G120" i="3"/>
  <c r="D119" i="3"/>
  <c r="E120" i="3"/>
  <c r="B144" i="41"/>
  <c r="Y144" i="41" s="1"/>
  <c r="K147" i="3"/>
  <c r="O111" i="3"/>
  <c r="R116" i="19"/>
  <c r="U115" i="19"/>
  <c r="U115" i="3"/>
  <c r="Q117" i="3"/>
  <c r="R116" i="3"/>
  <c r="C144" i="41" l="1"/>
  <c r="D144" i="41"/>
  <c r="D132" i="43"/>
  <c r="E132" i="43"/>
  <c r="F131" i="43"/>
  <c r="I131" i="43" s="1"/>
  <c r="C135" i="19"/>
  <c r="A135" i="19" s="1"/>
  <c r="S131" i="43"/>
  <c r="T131" i="43" s="1"/>
  <c r="J131" i="43" s="1"/>
  <c r="L142" i="41"/>
  <c r="E135" i="19"/>
  <c r="C132" i="43"/>
  <c r="W132" i="43"/>
  <c r="K136" i="19" s="1"/>
  <c r="G132" i="43"/>
  <c r="F132" i="43"/>
  <c r="A133" i="43"/>
  <c r="L129" i="43"/>
  <c r="K129" i="43" s="1"/>
  <c r="I133" i="19" s="1"/>
  <c r="M133" i="19" s="1"/>
  <c r="H129" i="43"/>
  <c r="H130" i="43"/>
  <c r="L130" i="43"/>
  <c r="K130" i="43" s="1"/>
  <c r="H142" i="41"/>
  <c r="F143" i="41"/>
  <c r="E143" i="41"/>
  <c r="I143" i="41"/>
  <c r="G135" i="19"/>
  <c r="F134" i="19"/>
  <c r="K135" i="19"/>
  <c r="C148" i="3"/>
  <c r="A147" i="3"/>
  <c r="P144" i="41"/>
  <c r="Q144" i="41" s="1"/>
  <c r="R144" i="41"/>
  <c r="S144" i="41" s="1"/>
  <c r="H121" i="3"/>
  <c r="I120" i="3"/>
  <c r="M120" i="3" s="1"/>
  <c r="F121" i="3"/>
  <c r="G121" i="3"/>
  <c r="D120" i="3"/>
  <c r="E121" i="3"/>
  <c r="B145" i="41"/>
  <c r="Y145" i="41" s="1"/>
  <c r="K148" i="3"/>
  <c r="F144" i="41"/>
  <c r="O112" i="3"/>
  <c r="R117" i="19"/>
  <c r="U116" i="19"/>
  <c r="U116" i="3"/>
  <c r="Q118" i="3"/>
  <c r="R117" i="3"/>
  <c r="C145" i="41" l="1"/>
  <c r="D145" i="41"/>
  <c r="D133" i="43"/>
  <c r="E133" i="43"/>
  <c r="M131" i="43"/>
  <c r="D135" i="19"/>
  <c r="Q132" i="43"/>
  <c r="R132" i="43" s="1"/>
  <c r="H143" i="41"/>
  <c r="L143" i="41"/>
  <c r="I132" i="43"/>
  <c r="S133" i="43"/>
  <c r="T133" i="43" s="1"/>
  <c r="C133" i="43"/>
  <c r="W133" i="43" s="1"/>
  <c r="K137" i="19" s="1"/>
  <c r="Q133" i="43"/>
  <c r="R133" i="43" s="1"/>
  <c r="A134" i="43"/>
  <c r="E136" i="19"/>
  <c r="S132" i="43"/>
  <c r="T132" i="43" s="1"/>
  <c r="J132" i="43" s="1"/>
  <c r="M132" i="43" s="1"/>
  <c r="L131" i="43"/>
  <c r="K131" i="43" s="1"/>
  <c r="H131" i="43"/>
  <c r="G142" i="41"/>
  <c r="K142" i="41"/>
  <c r="J142" i="41" s="1"/>
  <c r="E144" i="41"/>
  <c r="H144" i="41" s="1"/>
  <c r="K144" i="41" s="1"/>
  <c r="G143" i="41"/>
  <c r="K143" i="41"/>
  <c r="J143" i="41" s="1"/>
  <c r="G144" i="41"/>
  <c r="I144" i="41"/>
  <c r="I134" i="19"/>
  <c r="M134" i="19" s="1"/>
  <c r="F135" i="19"/>
  <c r="C136" i="19"/>
  <c r="A136" i="19" s="1"/>
  <c r="G136" i="19"/>
  <c r="F136" i="19"/>
  <c r="C149" i="3"/>
  <c r="A148" i="3"/>
  <c r="P145" i="41"/>
  <c r="Q145" i="41" s="1"/>
  <c r="R145" i="41"/>
  <c r="S145" i="41" s="1"/>
  <c r="H122" i="3"/>
  <c r="I121" i="3"/>
  <c r="M121" i="3" s="1"/>
  <c r="F122" i="3"/>
  <c r="G122" i="3"/>
  <c r="D121" i="3"/>
  <c r="E122" i="3"/>
  <c r="B146" i="41"/>
  <c r="Y146" i="41" s="1"/>
  <c r="K149" i="3"/>
  <c r="F145" i="41"/>
  <c r="O113" i="3"/>
  <c r="U117" i="19"/>
  <c r="R118" i="19"/>
  <c r="U117" i="3"/>
  <c r="Q119" i="3"/>
  <c r="R118" i="3"/>
  <c r="C146" i="41" l="1"/>
  <c r="D146" i="41"/>
  <c r="E134" i="43"/>
  <c r="D134" i="43"/>
  <c r="E137" i="19"/>
  <c r="E145" i="41"/>
  <c r="H145" i="41" s="1"/>
  <c r="L144" i="41"/>
  <c r="J144" i="41" s="1"/>
  <c r="J133" i="43"/>
  <c r="G133" i="43"/>
  <c r="H132" i="43"/>
  <c r="L132" i="43"/>
  <c r="K132" i="43" s="1"/>
  <c r="F133" i="43"/>
  <c r="A135" i="43"/>
  <c r="C134" i="43"/>
  <c r="W134" i="43"/>
  <c r="K138" i="19" s="1"/>
  <c r="Q134" i="43"/>
  <c r="R134" i="43" s="1"/>
  <c r="E138" i="19"/>
  <c r="S134" i="43"/>
  <c r="T134" i="43" s="1"/>
  <c r="I145" i="41"/>
  <c r="L145" i="41" s="1"/>
  <c r="G145" i="41"/>
  <c r="K145" i="41"/>
  <c r="J145" i="41" s="1"/>
  <c r="D136" i="19"/>
  <c r="I135" i="19"/>
  <c r="M135" i="19" s="1"/>
  <c r="G137" i="19"/>
  <c r="C137" i="19"/>
  <c r="A137" i="19" s="1"/>
  <c r="F137" i="19"/>
  <c r="C150" i="3"/>
  <c r="A149" i="3"/>
  <c r="P146" i="41"/>
  <c r="Q146" i="41" s="1"/>
  <c r="R146" i="41"/>
  <c r="S146" i="41" s="1"/>
  <c r="H123" i="3"/>
  <c r="I122" i="3"/>
  <c r="M122" i="3" s="1"/>
  <c r="F123" i="3"/>
  <c r="G123" i="3"/>
  <c r="D122" i="3"/>
  <c r="E123" i="3"/>
  <c r="B147" i="41"/>
  <c r="Y147" i="41" s="1"/>
  <c r="K150" i="3"/>
  <c r="F146" i="41"/>
  <c r="E146" i="41"/>
  <c r="O114" i="3"/>
  <c r="R119" i="19"/>
  <c r="U118" i="19"/>
  <c r="U118" i="3"/>
  <c r="Q120" i="3"/>
  <c r="R119" i="3"/>
  <c r="C147" i="41" l="1"/>
  <c r="D147" i="41"/>
  <c r="E135" i="43"/>
  <c r="D135" i="43"/>
  <c r="G134" i="43"/>
  <c r="J134" i="43"/>
  <c r="A136" i="43"/>
  <c r="S135" i="43"/>
  <c r="T135" i="43" s="1"/>
  <c r="Q135" i="43"/>
  <c r="R135" i="43" s="1"/>
  <c r="J135" i="43" s="1"/>
  <c r="C135" i="43"/>
  <c r="W135" i="43" s="1"/>
  <c r="K139" i="19" s="1"/>
  <c r="M133" i="43"/>
  <c r="I133" i="43"/>
  <c r="F134" i="43"/>
  <c r="I146" i="41"/>
  <c r="H146" i="41"/>
  <c r="L146" i="41"/>
  <c r="G146" i="41"/>
  <c r="K146" i="41"/>
  <c r="J146" i="41" s="1"/>
  <c r="F138" i="19"/>
  <c r="D137" i="19"/>
  <c r="I136" i="19"/>
  <c r="M136" i="19" s="1"/>
  <c r="C138" i="19"/>
  <c r="A138" i="19" s="1"/>
  <c r="G138" i="19"/>
  <c r="C151" i="3"/>
  <c r="A150" i="3"/>
  <c r="P147" i="41"/>
  <c r="Q147" i="41" s="1"/>
  <c r="R147" i="41"/>
  <c r="S147" i="41" s="1"/>
  <c r="H124" i="3"/>
  <c r="I123" i="3"/>
  <c r="M123" i="3" s="1"/>
  <c r="F124" i="3"/>
  <c r="G124" i="3"/>
  <c r="D123" i="3"/>
  <c r="E124" i="3"/>
  <c r="B148" i="41"/>
  <c r="Y148" i="41" s="1"/>
  <c r="K151" i="3"/>
  <c r="E147" i="41"/>
  <c r="O115" i="3"/>
  <c r="R120" i="19"/>
  <c r="U119" i="19"/>
  <c r="Q121" i="3"/>
  <c r="R120" i="3"/>
  <c r="U119" i="3"/>
  <c r="D148" i="41" l="1"/>
  <c r="C148" i="41"/>
  <c r="E136" i="43"/>
  <c r="D136" i="43"/>
  <c r="F135" i="43"/>
  <c r="E139" i="19"/>
  <c r="G135" i="43"/>
  <c r="M135" i="43" s="1"/>
  <c r="L133" i="43"/>
  <c r="K133" i="43" s="1"/>
  <c r="I137" i="19" s="1"/>
  <c r="M137" i="19" s="1"/>
  <c r="H133" i="43"/>
  <c r="A137" i="43"/>
  <c r="S136" i="43"/>
  <c r="T136" i="43" s="1"/>
  <c r="Q136" i="43"/>
  <c r="R136" i="43" s="1"/>
  <c r="C136" i="43"/>
  <c r="W136" i="43" s="1"/>
  <c r="K140" i="19" s="1"/>
  <c r="I134" i="43"/>
  <c r="M134" i="43"/>
  <c r="I147" i="41"/>
  <c r="F147" i="41"/>
  <c r="G139" i="19"/>
  <c r="C139" i="19"/>
  <c r="A139" i="19" s="1"/>
  <c r="D138" i="19"/>
  <c r="F139" i="19"/>
  <c r="C152" i="3"/>
  <c r="A151" i="3"/>
  <c r="P148" i="41"/>
  <c r="Q148" i="41" s="1"/>
  <c r="R148" i="41"/>
  <c r="S148" i="41" s="1"/>
  <c r="H125" i="3"/>
  <c r="I124" i="3"/>
  <c r="M124" i="3" s="1"/>
  <c r="F125" i="3"/>
  <c r="G125" i="3"/>
  <c r="D124" i="3"/>
  <c r="E125" i="3"/>
  <c r="B149" i="41"/>
  <c r="Y149" i="41" s="1"/>
  <c r="K152" i="3"/>
  <c r="U120" i="3"/>
  <c r="O116" i="3"/>
  <c r="O117" i="3"/>
  <c r="R121" i="19"/>
  <c r="U120" i="19"/>
  <c r="Q122" i="3"/>
  <c r="R121" i="3"/>
  <c r="C149" i="41" l="1"/>
  <c r="D149" i="41"/>
  <c r="D137" i="43"/>
  <c r="E137" i="43"/>
  <c r="J136" i="43"/>
  <c r="I135" i="43"/>
  <c r="E140" i="19"/>
  <c r="D139" i="19"/>
  <c r="F136" i="43"/>
  <c r="G136" i="43"/>
  <c r="L134" i="43"/>
  <c r="K134" i="43" s="1"/>
  <c r="H134" i="43"/>
  <c r="A138" i="43"/>
  <c r="C137" i="43"/>
  <c r="W137" i="43" s="1"/>
  <c r="K141" i="19" s="1"/>
  <c r="F137" i="43"/>
  <c r="S137" i="43"/>
  <c r="T137" i="43" s="1"/>
  <c r="F148" i="41"/>
  <c r="E148" i="41"/>
  <c r="I148" i="41"/>
  <c r="L147" i="41"/>
  <c r="H147" i="41"/>
  <c r="I138" i="19"/>
  <c r="M138" i="19" s="1"/>
  <c r="C140" i="19"/>
  <c r="A140" i="19" s="1"/>
  <c r="G140" i="19"/>
  <c r="C153" i="3"/>
  <c r="A152" i="3"/>
  <c r="R149" i="41"/>
  <c r="S149" i="41" s="1"/>
  <c r="P149" i="41"/>
  <c r="Q149" i="41" s="1"/>
  <c r="H126" i="3"/>
  <c r="I125" i="3"/>
  <c r="M125" i="3" s="1"/>
  <c r="F126" i="3"/>
  <c r="G126" i="3"/>
  <c r="D125" i="3"/>
  <c r="E126" i="3"/>
  <c r="B150" i="41"/>
  <c r="Y150" i="41" s="1"/>
  <c r="K153" i="3"/>
  <c r="F149" i="41"/>
  <c r="E149" i="41"/>
  <c r="R122" i="19"/>
  <c r="U121" i="19"/>
  <c r="U121" i="3"/>
  <c r="Q123" i="3"/>
  <c r="R122" i="3"/>
  <c r="C150" i="41" l="1"/>
  <c r="D150" i="41"/>
  <c r="E138" i="43"/>
  <c r="D138" i="43"/>
  <c r="H135" i="43"/>
  <c r="L135" i="43"/>
  <c r="K135" i="43" s="1"/>
  <c r="I139" i="19" s="1"/>
  <c r="M139" i="19" s="1"/>
  <c r="L148" i="41"/>
  <c r="G137" i="43"/>
  <c r="Q137" i="43"/>
  <c r="R137" i="43" s="1"/>
  <c r="J137" i="43" s="1"/>
  <c r="E141" i="19"/>
  <c r="A139" i="43"/>
  <c r="C138" i="43"/>
  <c r="W138" i="43" s="1"/>
  <c r="K142" i="19" s="1"/>
  <c r="F138" i="43"/>
  <c r="E142" i="19"/>
  <c r="M136" i="43"/>
  <c r="I136" i="43"/>
  <c r="H148" i="41"/>
  <c r="H149" i="41"/>
  <c r="G149" i="41" s="1"/>
  <c r="I149" i="41"/>
  <c r="L149" i="41" s="1"/>
  <c r="K149" i="41"/>
  <c r="J149" i="41" s="1"/>
  <c r="G147" i="41"/>
  <c r="K147" i="41"/>
  <c r="J147" i="41" s="1"/>
  <c r="D140" i="19"/>
  <c r="F140" i="19"/>
  <c r="C141" i="19"/>
  <c r="A141" i="19" s="1"/>
  <c r="C154" i="3"/>
  <c r="A153" i="3"/>
  <c r="P150" i="41"/>
  <c r="Q150" i="41" s="1"/>
  <c r="R150" i="41"/>
  <c r="S150" i="41" s="1"/>
  <c r="H127" i="3"/>
  <c r="I126" i="3"/>
  <c r="M126" i="3" s="1"/>
  <c r="F127" i="3"/>
  <c r="G127" i="3"/>
  <c r="D126" i="3"/>
  <c r="E127" i="3"/>
  <c r="B151" i="41"/>
  <c r="Y151" i="41" s="1"/>
  <c r="K154" i="3"/>
  <c r="F150" i="41"/>
  <c r="E150" i="41"/>
  <c r="O118" i="3"/>
  <c r="R123" i="19"/>
  <c r="U122" i="19"/>
  <c r="U122" i="3"/>
  <c r="Q124" i="3"/>
  <c r="R123" i="3"/>
  <c r="D151" i="41" l="1"/>
  <c r="C151" i="41"/>
  <c r="E139" i="43"/>
  <c r="D139" i="43"/>
  <c r="M137" i="43"/>
  <c r="G141" i="19"/>
  <c r="H150" i="41"/>
  <c r="Q138" i="43"/>
  <c r="R138" i="43" s="1"/>
  <c r="S138" i="43"/>
  <c r="T138" i="43" s="1"/>
  <c r="L136" i="43"/>
  <c r="K136" i="43" s="1"/>
  <c r="I140" i="19" s="1"/>
  <c r="M140" i="19" s="1"/>
  <c r="H136" i="43"/>
  <c r="G138" i="43"/>
  <c r="I137" i="43"/>
  <c r="A140" i="43"/>
  <c r="C139" i="43"/>
  <c r="W139" i="43" s="1"/>
  <c r="K143" i="19" s="1"/>
  <c r="F139" i="43"/>
  <c r="E143" i="19"/>
  <c r="K148" i="41"/>
  <c r="J148" i="41" s="1"/>
  <c r="G148" i="41"/>
  <c r="I150" i="41"/>
  <c r="L150" i="41" s="1"/>
  <c r="K150" i="41"/>
  <c r="G150" i="41"/>
  <c r="C142" i="19"/>
  <c r="A142" i="19" s="1"/>
  <c r="D141" i="19"/>
  <c r="F142" i="19"/>
  <c r="F141" i="19"/>
  <c r="C155" i="3"/>
  <c r="A154" i="3"/>
  <c r="P151" i="41"/>
  <c r="Q151" i="41" s="1"/>
  <c r="R151" i="41"/>
  <c r="S151" i="41" s="1"/>
  <c r="H128" i="3"/>
  <c r="I127" i="3"/>
  <c r="M127" i="3" s="1"/>
  <c r="F128" i="3"/>
  <c r="G128" i="3"/>
  <c r="D127" i="3"/>
  <c r="E128" i="3"/>
  <c r="B152" i="41"/>
  <c r="Y152" i="41" s="1"/>
  <c r="K155" i="3"/>
  <c r="F151" i="41"/>
  <c r="E151" i="41"/>
  <c r="O119" i="3"/>
  <c r="O120" i="3"/>
  <c r="R124" i="19"/>
  <c r="U123" i="19"/>
  <c r="U123" i="3"/>
  <c r="Q125" i="3"/>
  <c r="R124" i="3"/>
  <c r="C152" i="41" l="1"/>
  <c r="D152" i="41"/>
  <c r="E140" i="43"/>
  <c r="D140" i="43"/>
  <c r="J150" i="41"/>
  <c r="G139" i="43"/>
  <c r="S139" i="43"/>
  <c r="T139" i="43" s="1"/>
  <c r="J138" i="43"/>
  <c r="M138" i="43" s="1"/>
  <c r="I139" i="43"/>
  <c r="A141" i="43"/>
  <c r="Q140" i="43"/>
  <c r="R140" i="43" s="1"/>
  <c r="S140" i="43"/>
  <c r="T140" i="43" s="1"/>
  <c r="C140" i="43"/>
  <c r="W140" i="43" s="1"/>
  <c r="K144" i="19" s="1"/>
  <c r="H137" i="43"/>
  <c r="L137" i="43"/>
  <c r="K137" i="43" s="1"/>
  <c r="I141" i="19" s="1"/>
  <c r="M141" i="19" s="1"/>
  <c r="Q139" i="43"/>
  <c r="R139" i="43" s="1"/>
  <c r="I138" i="43"/>
  <c r="G142" i="19"/>
  <c r="H151" i="41"/>
  <c r="I151" i="41"/>
  <c r="G151" i="41"/>
  <c r="K151" i="41"/>
  <c r="L151" i="41"/>
  <c r="D142" i="19"/>
  <c r="C143" i="19"/>
  <c r="A143" i="19" s="1"/>
  <c r="G143" i="19"/>
  <c r="F143" i="19"/>
  <c r="C156" i="3"/>
  <c r="A155" i="3"/>
  <c r="P152" i="41"/>
  <c r="Q152" i="41" s="1"/>
  <c r="R152" i="41"/>
  <c r="S152" i="41" s="1"/>
  <c r="H129" i="3"/>
  <c r="I128" i="3"/>
  <c r="M128" i="3" s="1"/>
  <c r="F129" i="3"/>
  <c r="G129" i="3"/>
  <c r="D128" i="3"/>
  <c r="E129" i="3"/>
  <c r="K156" i="3"/>
  <c r="B153" i="41"/>
  <c r="Y153" i="41" s="1"/>
  <c r="F152" i="41"/>
  <c r="E152" i="41"/>
  <c r="O121" i="3"/>
  <c r="R125" i="19"/>
  <c r="U124" i="19"/>
  <c r="U124" i="3"/>
  <c r="Q126" i="3"/>
  <c r="R125" i="3"/>
  <c r="C153" i="41" l="1"/>
  <c r="D153" i="41"/>
  <c r="E141" i="43"/>
  <c r="D141" i="43"/>
  <c r="J151" i="41"/>
  <c r="J139" i="43"/>
  <c r="M139" i="43" s="1"/>
  <c r="F140" i="43"/>
  <c r="J140" i="43"/>
  <c r="G140" i="43"/>
  <c r="H138" i="43"/>
  <c r="L138" i="43"/>
  <c r="K138" i="43" s="1"/>
  <c r="E144" i="19"/>
  <c r="A142" i="43"/>
  <c r="C141" i="43"/>
  <c r="W141" i="43" s="1"/>
  <c r="K145" i="19" s="1"/>
  <c r="Q141" i="43"/>
  <c r="R141" i="43" s="1"/>
  <c r="E145" i="19"/>
  <c r="L139" i="43"/>
  <c r="K139" i="43" s="1"/>
  <c r="H139" i="43"/>
  <c r="H152" i="41"/>
  <c r="G152" i="41" s="1"/>
  <c r="I152" i="41"/>
  <c r="L152" i="41" s="1"/>
  <c r="D143" i="19"/>
  <c r="C144" i="19"/>
  <c r="A144" i="19" s="1"/>
  <c r="I142" i="19"/>
  <c r="M142" i="19" s="1"/>
  <c r="C157" i="3"/>
  <c r="A156" i="3"/>
  <c r="R153" i="41"/>
  <c r="S153" i="41" s="1"/>
  <c r="P153" i="41"/>
  <c r="Q153" i="41" s="1"/>
  <c r="H130" i="3"/>
  <c r="I129" i="3"/>
  <c r="M129" i="3" s="1"/>
  <c r="F130" i="3"/>
  <c r="G130" i="3"/>
  <c r="D129" i="3"/>
  <c r="E130" i="3"/>
  <c r="K157" i="3"/>
  <c r="E153" i="41"/>
  <c r="B154" i="41"/>
  <c r="Y154" i="41" s="1"/>
  <c r="O122" i="3"/>
  <c r="U125" i="19"/>
  <c r="R126" i="19"/>
  <c r="U125" i="3"/>
  <c r="Q127" i="3"/>
  <c r="R126" i="3"/>
  <c r="C154" i="41" l="1"/>
  <c r="D154" i="41"/>
  <c r="E142" i="43"/>
  <c r="D142" i="43"/>
  <c r="S141" i="43"/>
  <c r="T141" i="43" s="1"/>
  <c r="J141" i="43" s="1"/>
  <c r="M140" i="43"/>
  <c r="I140" i="43"/>
  <c r="L140" i="43" s="1"/>
  <c r="K140" i="43" s="1"/>
  <c r="G141" i="43"/>
  <c r="G145" i="19" s="1"/>
  <c r="G144" i="19"/>
  <c r="K152" i="41"/>
  <c r="J152" i="41" s="1"/>
  <c r="I153" i="41"/>
  <c r="A143" i="43"/>
  <c r="C142" i="43"/>
  <c r="F142" i="43"/>
  <c r="W142" i="43"/>
  <c r="K146" i="19" s="1"/>
  <c r="E146" i="19"/>
  <c r="F141" i="43"/>
  <c r="F153" i="41"/>
  <c r="L153" i="41" s="1"/>
  <c r="D144" i="19"/>
  <c r="F145" i="19"/>
  <c r="F144" i="19"/>
  <c r="I143" i="19"/>
  <c r="M143" i="19" s="1"/>
  <c r="C145" i="19"/>
  <c r="A145" i="19" s="1"/>
  <c r="C158" i="3"/>
  <c r="A157" i="3"/>
  <c r="P154" i="41"/>
  <c r="Q154" i="41" s="1"/>
  <c r="F154" i="41"/>
  <c r="H131" i="3"/>
  <c r="I130" i="3"/>
  <c r="M130" i="3" s="1"/>
  <c r="F131" i="3"/>
  <c r="G131" i="3"/>
  <c r="D130" i="3"/>
  <c r="E131" i="3"/>
  <c r="K158" i="3"/>
  <c r="B155" i="41"/>
  <c r="Y155" i="41" s="1"/>
  <c r="O123" i="3"/>
  <c r="R127" i="19"/>
  <c r="U126" i="19"/>
  <c r="U126" i="3"/>
  <c r="Q128" i="3"/>
  <c r="R127" i="3"/>
  <c r="C155" i="41" l="1"/>
  <c r="D155" i="41"/>
  <c r="E143" i="43"/>
  <c r="D143" i="43"/>
  <c r="H140" i="43"/>
  <c r="S142" i="43"/>
  <c r="T142" i="43" s="1"/>
  <c r="Q142" i="43"/>
  <c r="R142" i="43" s="1"/>
  <c r="G142" i="43"/>
  <c r="G146" i="19" s="1"/>
  <c r="J142" i="43"/>
  <c r="A144" i="43"/>
  <c r="E147" i="19"/>
  <c r="C143" i="43"/>
  <c r="W143" i="43" s="1"/>
  <c r="Q143" i="43"/>
  <c r="R143" i="43" s="1"/>
  <c r="I141" i="43"/>
  <c r="M141" i="43"/>
  <c r="E154" i="41"/>
  <c r="H154" i="41" s="1"/>
  <c r="R154" i="41"/>
  <c r="S154" i="41" s="1"/>
  <c r="I154" i="41" s="1"/>
  <c r="L154" i="41" s="1"/>
  <c r="H153" i="41"/>
  <c r="D145" i="19"/>
  <c r="C146" i="19"/>
  <c r="A146" i="19" s="1"/>
  <c r="I144" i="19"/>
  <c r="M144" i="19" s="1"/>
  <c r="C159" i="3"/>
  <c r="A158" i="3"/>
  <c r="P155" i="41"/>
  <c r="Q155" i="41" s="1"/>
  <c r="F155" i="41"/>
  <c r="H132" i="3"/>
  <c r="I131" i="3"/>
  <c r="M131" i="3" s="1"/>
  <c r="F132" i="3"/>
  <c r="G132" i="3"/>
  <c r="D131" i="3"/>
  <c r="E132" i="3"/>
  <c r="K159" i="3"/>
  <c r="B156" i="41"/>
  <c r="Y156" i="41" s="1"/>
  <c r="O124" i="3"/>
  <c r="R128" i="19"/>
  <c r="U127" i="19"/>
  <c r="U127" i="3"/>
  <c r="Q129" i="3"/>
  <c r="R128" i="3"/>
  <c r="C156" i="41" l="1"/>
  <c r="D156" i="41"/>
  <c r="D144" i="43"/>
  <c r="E144" i="43"/>
  <c r="K154" i="41"/>
  <c r="J154" i="41" s="1"/>
  <c r="G154" i="41"/>
  <c r="I142" i="43"/>
  <c r="M142" i="43"/>
  <c r="E155" i="41"/>
  <c r="H155" i="41" s="1"/>
  <c r="C147" i="19"/>
  <c r="A147" i="19" s="1"/>
  <c r="F143" i="43"/>
  <c r="F147" i="19" s="1"/>
  <c r="A145" i="43"/>
  <c r="Q144" i="43"/>
  <c r="R144" i="43" s="1"/>
  <c r="E148" i="19"/>
  <c r="C144" i="43"/>
  <c r="C148" i="19" s="1"/>
  <c r="A148" i="19" s="1"/>
  <c r="H142" i="43"/>
  <c r="L142" i="43"/>
  <c r="K142" i="43" s="1"/>
  <c r="G143" i="43"/>
  <c r="G147" i="19" s="1"/>
  <c r="S143" i="43"/>
  <c r="T143" i="43" s="1"/>
  <c r="J143" i="43" s="1"/>
  <c r="L141" i="43"/>
  <c r="K141" i="43" s="1"/>
  <c r="I145" i="19" s="1"/>
  <c r="M145" i="19" s="1"/>
  <c r="H141" i="43"/>
  <c r="K155" i="41"/>
  <c r="G155" i="41"/>
  <c r="R155" i="41"/>
  <c r="S155" i="41" s="1"/>
  <c r="I155" i="41" s="1"/>
  <c r="L155" i="41" s="1"/>
  <c r="G153" i="41"/>
  <c r="K153" i="41"/>
  <c r="J153" i="41" s="1"/>
  <c r="D146" i="19"/>
  <c r="K147" i="19"/>
  <c r="F146" i="19"/>
  <c r="C160" i="3"/>
  <c r="A159" i="3"/>
  <c r="E156" i="41"/>
  <c r="H156" i="41" s="1"/>
  <c r="F156" i="41"/>
  <c r="H133" i="3"/>
  <c r="I132" i="3"/>
  <c r="M132" i="3" s="1"/>
  <c r="F133" i="3"/>
  <c r="G133" i="3"/>
  <c r="D132" i="3"/>
  <c r="E133" i="3"/>
  <c r="K160" i="3"/>
  <c r="B157" i="41"/>
  <c r="Y157" i="41" s="1"/>
  <c r="O125" i="3"/>
  <c r="R129" i="19"/>
  <c r="U128" i="19"/>
  <c r="U128" i="3"/>
  <c r="Q130" i="3"/>
  <c r="R129" i="3"/>
  <c r="C157" i="41" l="1"/>
  <c r="D157" i="41"/>
  <c r="D145" i="43"/>
  <c r="E145" i="43"/>
  <c r="J155" i="41"/>
  <c r="P156" i="41"/>
  <c r="Q156" i="41" s="1"/>
  <c r="D147" i="19"/>
  <c r="S144" i="43"/>
  <c r="T144" i="43" s="1"/>
  <c r="F144" i="43"/>
  <c r="J144" i="43"/>
  <c r="W144" i="43"/>
  <c r="K148" i="19" s="1"/>
  <c r="A146" i="43"/>
  <c r="C145" i="43"/>
  <c r="C149" i="19" s="1"/>
  <c r="A149" i="19" s="1"/>
  <c r="F145" i="43"/>
  <c r="G145" i="43"/>
  <c r="G144" i="43"/>
  <c r="I144" i="43" s="1"/>
  <c r="I143" i="43"/>
  <c r="M143" i="43"/>
  <c r="K156" i="41"/>
  <c r="G156" i="41"/>
  <c r="R156" i="41"/>
  <c r="S156" i="41" s="1"/>
  <c r="I156" i="41" s="1"/>
  <c r="L156" i="41" s="1"/>
  <c r="I146" i="19"/>
  <c r="M146" i="19" s="1"/>
  <c r="G148" i="19"/>
  <c r="F148" i="19"/>
  <c r="C161" i="3"/>
  <c r="A160" i="3"/>
  <c r="D148" i="19"/>
  <c r="P157" i="41"/>
  <c r="Q157" i="41" s="1"/>
  <c r="F157" i="41"/>
  <c r="H134" i="3"/>
  <c r="I133" i="3"/>
  <c r="M133" i="3" s="1"/>
  <c r="F134" i="3"/>
  <c r="G134" i="3"/>
  <c r="D133" i="3"/>
  <c r="E134" i="3"/>
  <c r="K161" i="3"/>
  <c r="B158" i="41"/>
  <c r="Y158" i="41" s="1"/>
  <c r="O126" i="3"/>
  <c r="R130" i="19"/>
  <c r="U129" i="19"/>
  <c r="Q131" i="3"/>
  <c r="R130" i="3"/>
  <c r="U129" i="3"/>
  <c r="C158" i="41" l="1"/>
  <c r="D158" i="41"/>
  <c r="D146" i="43"/>
  <c r="E146" i="43"/>
  <c r="J156" i="41"/>
  <c r="W145" i="43"/>
  <c r="K149" i="19" s="1"/>
  <c r="E157" i="41"/>
  <c r="H157" i="41" s="1"/>
  <c r="I145" i="43"/>
  <c r="L144" i="43"/>
  <c r="K144" i="43" s="1"/>
  <c r="H144" i="43"/>
  <c r="Q145" i="43"/>
  <c r="R145" i="43" s="1"/>
  <c r="S145" i="43"/>
  <c r="T145" i="43" s="1"/>
  <c r="H143" i="43"/>
  <c r="L143" i="43"/>
  <c r="K143" i="43" s="1"/>
  <c r="I147" i="19" s="1"/>
  <c r="M147" i="19" s="1"/>
  <c r="M144" i="43"/>
  <c r="A147" i="43"/>
  <c r="C146" i="43"/>
  <c r="W146" i="43" s="1"/>
  <c r="F146" i="43"/>
  <c r="E150" i="19"/>
  <c r="E149" i="19"/>
  <c r="K157" i="41"/>
  <c r="G157" i="41"/>
  <c r="R157" i="41"/>
  <c r="S157" i="41" s="1"/>
  <c r="I157" i="41" s="1"/>
  <c r="L157" i="41" s="1"/>
  <c r="G149" i="19"/>
  <c r="F149" i="19"/>
  <c r="C162" i="3"/>
  <c r="A161" i="3"/>
  <c r="D149" i="19"/>
  <c r="P158" i="41"/>
  <c r="Q158" i="41" s="1"/>
  <c r="R158" i="41"/>
  <c r="S158" i="41" s="1"/>
  <c r="H135" i="3"/>
  <c r="I134" i="3"/>
  <c r="M134" i="3" s="1"/>
  <c r="F135" i="3"/>
  <c r="G135" i="3"/>
  <c r="D134" i="3"/>
  <c r="E135" i="3"/>
  <c r="K162" i="3"/>
  <c r="B159" i="41"/>
  <c r="Y159" i="41" s="1"/>
  <c r="O127" i="3"/>
  <c r="R131" i="19"/>
  <c r="U130" i="19"/>
  <c r="U130" i="3"/>
  <c r="Q132" i="3"/>
  <c r="R131" i="3"/>
  <c r="C159" i="41" l="1"/>
  <c r="D159" i="41"/>
  <c r="D147" i="43"/>
  <c r="E147" i="43"/>
  <c r="J157" i="41"/>
  <c r="S146" i="43"/>
  <c r="T146" i="43" s="1"/>
  <c r="G146" i="43"/>
  <c r="G150" i="19" s="1"/>
  <c r="I146" i="43"/>
  <c r="Q146" i="43"/>
  <c r="R146" i="43" s="1"/>
  <c r="J146" i="43" s="1"/>
  <c r="M146" i="43" s="1"/>
  <c r="A148" i="43"/>
  <c r="C147" i="43"/>
  <c r="W147" i="43" s="1"/>
  <c r="K151" i="19" s="1"/>
  <c r="Q147" i="43"/>
  <c r="R147" i="43" s="1"/>
  <c r="E151" i="19"/>
  <c r="C150" i="19"/>
  <c r="A150" i="19" s="1"/>
  <c r="J145" i="43"/>
  <c r="M145" i="43" s="1"/>
  <c r="H145" i="43"/>
  <c r="L145" i="43"/>
  <c r="K145" i="43" s="1"/>
  <c r="E158" i="41"/>
  <c r="I158" i="41"/>
  <c r="F158" i="41"/>
  <c r="H158" i="41" s="1"/>
  <c r="K150" i="19"/>
  <c r="I149" i="19"/>
  <c r="M149" i="19" s="1"/>
  <c r="C163" i="3"/>
  <c r="A162" i="3"/>
  <c r="P159" i="41"/>
  <c r="Q159" i="41" s="1"/>
  <c r="F159" i="41"/>
  <c r="H136" i="3"/>
  <c r="I135" i="3"/>
  <c r="M135" i="3" s="1"/>
  <c r="F136" i="3"/>
  <c r="G136" i="3"/>
  <c r="D135" i="3"/>
  <c r="E136" i="3"/>
  <c r="K163" i="3"/>
  <c r="B160" i="41"/>
  <c r="Y160" i="41" s="1"/>
  <c r="O128" i="3"/>
  <c r="R132" i="19"/>
  <c r="U131" i="19"/>
  <c r="U131" i="3"/>
  <c r="Q133" i="3"/>
  <c r="R132" i="3"/>
  <c r="D160" i="41" l="1"/>
  <c r="C160" i="41"/>
  <c r="E148" i="43"/>
  <c r="D148" i="43"/>
  <c r="G147" i="43"/>
  <c r="G151" i="19" s="1"/>
  <c r="S147" i="43"/>
  <c r="T147" i="43" s="1"/>
  <c r="J147" i="43" s="1"/>
  <c r="E159" i="41"/>
  <c r="H159" i="41" s="1"/>
  <c r="C151" i="19"/>
  <c r="A151" i="19" s="1"/>
  <c r="D150" i="19"/>
  <c r="F147" i="43"/>
  <c r="F151" i="19" s="1"/>
  <c r="A149" i="43"/>
  <c r="G148" i="43"/>
  <c r="Q148" i="43"/>
  <c r="R148" i="43" s="1"/>
  <c r="C148" i="43"/>
  <c r="S148" i="43"/>
  <c r="T148" i="43" s="1"/>
  <c r="L146" i="43"/>
  <c r="K146" i="43" s="1"/>
  <c r="H146" i="43"/>
  <c r="K158" i="41"/>
  <c r="G158" i="41"/>
  <c r="L158" i="41"/>
  <c r="R159" i="41"/>
  <c r="S159" i="41" s="1"/>
  <c r="I159" i="41" s="1"/>
  <c r="L159" i="41" s="1"/>
  <c r="F150" i="19"/>
  <c r="I148" i="19"/>
  <c r="C164" i="3"/>
  <c r="A163" i="3"/>
  <c r="P160" i="41"/>
  <c r="Q160" i="41" s="1"/>
  <c r="F160" i="41"/>
  <c r="H137" i="3"/>
  <c r="I136" i="3"/>
  <c r="M136" i="3" s="1"/>
  <c r="F137" i="3"/>
  <c r="G137" i="3"/>
  <c r="D136" i="3"/>
  <c r="E137" i="3"/>
  <c r="K164" i="3"/>
  <c r="E160" i="41"/>
  <c r="H160" i="41" s="1"/>
  <c r="B161" i="41"/>
  <c r="Y161" i="41" s="1"/>
  <c r="O129" i="3"/>
  <c r="R133" i="19"/>
  <c r="U132" i="19"/>
  <c r="U132" i="3"/>
  <c r="Q134" i="3"/>
  <c r="R133" i="3"/>
  <c r="C161" i="41" l="1"/>
  <c r="D161" i="41"/>
  <c r="D149" i="43"/>
  <c r="E149" i="43"/>
  <c r="J158" i="41"/>
  <c r="C152" i="19"/>
  <c r="A152" i="19" s="1"/>
  <c r="D151" i="19"/>
  <c r="W148" i="43"/>
  <c r="K152" i="19" s="1"/>
  <c r="J148" i="43"/>
  <c r="E152" i="19"/>
  <c r="F148" i="43"/>
  <c r="G149" i="43"/>
  <c r="Q149" i="43"/>
  <c r="R149" i="43" s="1"/>
  <c r="C149" i="43"/>
  <c r="W149" i="43" s="1"/>
  <c r="K153" i="19" s="1"/>
  <c r="A150" i="43"/>
  <c r="I147" i="43"/>
  <c r="M147" i="43"/>
  <c r="K160" i="41"/>
  <c r="G160" i="41"/>
  <c r="K159" i="41"/>
  <c r="J159" i="41" s="1"/>
  <c r="G159" i="41"/>
  <c r="R160" i="41"/>
  <c r="S160" i="41" s="1"/>
  <c r="I160" i="41" s="1"/>
  <c r="L160" i="41" s="1"/>
  <c r="G152" i="19"/>
  <c r="I150" i="19"/>
  <c r="M148" i="19"/>
  <c r="C165" i="3"/>
  <c r="A164" i="3"/>
  <c r="P161" i="41"/>
  <c r="Q161" i="41" s="1"/>
  <c r="R161" i="41"/>
  <c r="S161" i="41" s="1"/>
  <c r="H138" i="3"/>
  <c r="I137" i="3"/>
  <c r="M137" i="3" s="1"/>
  <c r="F138" i="3"/>
  <c r="G138" i="3"/>
  <c r="D137" i="3"/>
  <c r="E138" i="3"/>
  <c r="K165" i="3"/>
  <c r="B162" i="41"/>
  <c r="Y162" i="41" s="1"/>
  <c r="O130" i="3"/>
  <c r="O131" i="3"/>
  <c r="R134" i="19"/>
  <c r="U133" i="19"/>
  <c r="U133" i="3"/>
  <c r="Q135" i="3"/>
  <c r="R134" i="3"/>
  <c r="D162" i="41" l="1"/>
  <c r="C162" i="41"/>
  <c r="D150" i="43"/>
  <c r="E150" i="43"/>
  <c r="J160" i="41"/>
  <c r="D152" i="19"/>
  <c r="S149" i="43"/>
  <c r="T149" i="43" s="1"/>
  <c r="J149" i="43"/>
  <c r="E153" i="19"/>
  <c r="C153" i="19"/>
  <c r="A153" i="19" s="1"/>
  <c r="E161" i="41"/>
  <c r="F149" i="43"/>
  <c r="C150" i="43"/>
  <c r="W150" i="43" s="1"/>
  <c r="K154" i="19" s="1"/>
  <c r="G150" i="43"/>
  <c r="F150" i="43"/>
  <c r="A151" i="43"/>
  <c r="H147" i="43"/>
  <c r="L147" i="43"/>
  <c r="K147" i="43" s="1"/>
  <c r="M148" i="43"/>
  <c r="I148" i="43"/>
  <c r="I161" i="41"/>
  <c r="F161" i="41"/>
  <c r="I151" i="19"/>
  <c r="M151" i="19" s="1"/>
  <c r="F153" i="19"/>
  <c r="G153" i="19"/>
  <c r="F152" i="19"/>
  <c r="M150" i="19"/>
  <c r="C166" i="3"/>
  <c r="A165" i="3"/>
  <c r="R162" i="41"/>
  <c r="S162" i="41" s="1"/>
  <c r="P162" i="41"/>
  <c r="H139" i="3"/>
  <c r="I138" i="3"/>
  <c r="M138" i="3" s="1"/>
  <c r="F139" i="3"/>
  <c r="G139" i="3"/>
  <c r="D138" i="3"/>
  <c r="E139" i="3"/>
  <c r="K166" i="3"/>
  <c r="Q162" i="41"/>
  <c r="E162" i="41"/>
  <c r="B163" i="41"/>
  <c r="Y163" i="41" s="1"/>
  <c r="R135" i="19"/>
  <c r="U134" i="19"/>
  <c r="O132" i="3"/>
  <c r="U134" i="3"/>
  <c r="Q136" i="3"/>
  <c r="R135" i="3"/>
  <c r="C163" i="41" l="1"/>
  <c r="D163" i="41"/>
  <c r="D151" i="43"/>
  <c r="E151" i="43"/>
  <c r="S150" i="43"/>
  <c r="T150" i="43" s="1"/>
  <c r="Q150" i="43"/>
  <c r="R150" i="43" s="1"/>
  <c r="C154" i="19"/>
  <c r="A154" i="19" s="1"/>
  <c r="D153" i="19"/>
  <c r="L161" i="41"/>
  <c r="E154" i="19"/>
  <c r="I150" i="43"/>
  <c r="J150" i="43"/>
  <c r="M150" i="43" s="1"/>
  <c r="H148" i="43"/>
  <c r="L148" i="43"/>
  <c r="K148" i="43" s="1"/>
  <c r="I152" i="19" s="1"/>
  <c r="M152" i="19" s="1"/>
  <c r="E155" i="19"/>
  <c r="Q151" i="43"/>
  <c r="R151" i="43" s="1"/>
  <c r="G151" i="43"/>
  <c r="S151" i="43"/>
  <c r="T151" i="43" s="1"/>
  <c r="A152" i="43"/>
  <c r="C151" i="43"/>
  <c r="M149" i="43"/>
  <c r="I149" i="43"/>
  <c r="H161" i="41"/>
  <c r="G161" i="41" s="1"/>
  <c r="I162" i="41"/>
  <c r="F162" i="41"/>
  <c r="H162" i="41"/>
  <c r="G154" i="19"/>
  <c r="F154" i="19"/>
  <c r="C167" i="3"/>
  <c r="A166" i="3"/>
  <c r="P163" i="41"/>
  <c r="Q163" i="41" s="1"/>
  <c r="R163" i="41"/>
  <c r="S163" i="41" s="1"/>
  <c r="H140" i="3"/>
  <c r="I139" i="3"/>
  <c r="M139" i="3" s="1"/>
  <c r="F140" i="3"/>
  <c r="G140" i="3"/>
  <c r="D139" i="3"/>
  <c r="E140" i="3"/>
  <c r="K167" i="3"/>
  <c r="E163" i="41"/>
  <c r="B164" i="41"/>
  <c r="Y164" i="41" s="1"/>
  <c r="R136" i="19"/>
  <c r="U135" i="19"/>
  <c r="U135" i="3"/>
  <c r="Q137" i="3"/>
  <c r="R136" i="3"/>
  <c r="C164" i="41" l="1"/>
  <c r="D164" i="41"/>
  <c r="D152" i="43"/>
  <c r="E152" i="43"/>
  <c r="C155" i="19"/>
  <c r="A155" i="19" s="1"/>
  <c r="D154" i="19"/>
  <c r="K161" i="41"/>
  <c r="J161" i="41" s="1"/>
  <c r="W151" i="43"/>
  <c r="K155" i="19" s="1"/>
  <c r="L162" i="41"/>
  <c r="J151" i="43"/>
  <c r="F151" i="43"/>
  <c r="F155" i="19" s="1"/>
  <c r="Q152" i="43"/>
  <c r="R152" i="43" s="1"/>
  <c r="C152" i="43"/>
  <c r="W152" i="43" s="1"/>
  <c r="G152" i="43"/>
  <c r="A153" i="43"/>
  <c r="H150" i="43"/>
  <c r="L150" i="43"/>
  <c r="K150" i="43" s="1"/>
  <c r="L149" i="43"/>
  <c r="K149" i="43" s="1"/>
  <c r="I153" i="19" s="1"/>
  <c r="M153" i="19" s="1"/>
  <c r="H149" i="43"/>
  <c r="I163" i="41"/>
  <c r="K162" i="41"/>
  <c r="J162" i="41" s="1"/>
  <c r="G162" i="41"/>
  <c r="F163" i="41"/>
  <c r="L163" i="41" s="1"/>
  <c r="C168" i="3"/>
  <c r="A167" i="3"/>
  <c r="P164" i="41"/>
  <c r="Q164" i="41" s="1"/>
  <c r="R164" i="41"/>
  <c r="S164" i="41" s="1"/>
  <c r="H141" i="3"/>
  <c r="I140" i="3"/>
  <c r="M140" i="3" s="1"/>
  <c r="F141" i="3"/>
  <c r="G141" i="3"/>
  <c r="D140" i="3"/>
  <c r="E141" i="3"/>
  <c r="K168" i="3"/>
  <c r="B165" i="41"/>
  <c r="Y165" i="41" s="1"/>
  <c r="O133" i="3"/>
  <c r="R137" i="19"/>
  <c r="U136" i="19"/>
  <c r="U136" i="3"/>
  <c r="Q138" i="3"/>
  <c r="R137" i="3"/>
  <c r="D155" i="19" l="1"/>
  <c r="C165" i="41"/>
  <c r="D165" i="41"/>
  <c r="D153" i="43"/>
  <c r="E153" i="43"/>
  <c r="H163" i="41"/>
  <c r="F152" i="43"/>
  <c r="C156" i="19"/>
  <c r="A156" i="19" s="1"/>
  <c r="I152" i="43"/>
  <c r="L152" i="43" s="1"/>
  <c r="K152" i="43" s="1"/>
  <c r="E156" i="19"/>
  <c r="H152" i="43"/>
  <c r="S152" i="43"/>
  <c r="T152" i="43" s="1"/>
  <c r="J152" i="43" s="1"/>
  <c r="I151" i="43"/>
  <c r="M151" i="43"/>
  <c r="E157" i="19"/>
  <c r="C153" i="43"/>
  <c r="Q153" i="43"/>
  <c r="R153" i="43" s="1"/>
  <c r="A154" i="43"/>
  <c r="E164" i="41"/>
  <c r="I164" i="41"/>
  <c r="F164" i="41"/>
  <c r="H164" i="41" s="1"/>
  <c r="G163" i="41"/>
  <c r="K163" i="41"/>
  <c r="J163" i="41" s="1"/>
  <c r="K156" i="19"/>
  <c r="G156" i="19"/>
  <c r="G155" i="19"/>
  <c r="I154" i="19"/>
  <c r="M154" i="19" s="1"/>
  <c r="C169" i="3"/>
  <c r="A168" i="3"/>
  <c r="P165" i="41"/>
  <c r="Q165" i="41" s="1"/>
  <c r="F165" i="41"/>
  <c r="H142" i="3"/>
  <c r="I141" i="3"/>
  <c r="M141" i="3" s="1"/>
  <c r="F142" i="3"/>
  <c r="G142" i="3"/>
  <c r="D141" i="3"/>
  <c r="E142" i="3"/>
  <c r="K169" i="3"/>
  <c r="B166" i="41"/>
  <c r="Y166" i="41" s="1"/>
  <c r="O134" i="3"/>
  <c r="R138" i="19"/>
  <c r="U137" i="19"/>
  <c r="U137" i="3"/>
  <c r="Q139" i="3"/>
  <c r="R138" i="3"/>
  <c r="C166" i="41" l="1"/>
  <c r="D166" i="41"/>
  <c r="E154" i="43"/>
  <c r="D154" i="43"/>
  <c r="D156" i="19"/>
  <c r="M152" i="43"/>
  <c r="C157" i="19"/>
  <c r="A157" i="19" s="1"/>
  <c r="S153" i="43"/>
  <c r="T153" i="43" s="1"/>
  <c r="J153" i="43" s="1"/>
  <c r="F153" i="43"/>
  <c r="F157" i="19" s="1"/>
  <c r="E165" i="41"/>
  <c r="H165" i="41" s="1"/>
  <c r="L164" i="41"/>
  <c r="G153" i="43"/>
  <c r="A155" i="43"/>
  <c r="E158" i="19"/>
  <c r="Q154" i="43"/>
  <c r="R154" i="43" s="1"/>
  <c r="C154" i="43"/>
  <c r="W154" i="43" s="1"/>
  <c r="K158" i="19" s="1"/>
  <c r="L151" i="43"/>
  <c r="K151" i="43" s="1"/>
  <c r="I155" i="19" s="1"/>
  <c r="M155" i="19" s="1"/>
  <c r="H151" i="43"/>
  <c r="W153" i="43"/>
  <c r="K157" i="19" s="1"/>
  <c r="G165" i="41"/>
  <c r="K165" i="41"/>
  <c r="G164" i="41"/>
  <c r="K164" i="41"/>
  <c r="R165" i="41"/>
  <c r="S165" i="41" s="1"/>
  <c r="I165" i="41" s="1"/>
  <c r="L165" i="41" s="1"/>
  <c r="F156" i="19"/>
  <c r="C170" i="3"/>
  <c r="A169" i="3"/>
  <c r="P166" i="41"/>
  <c r="Q166" i="41" s="1"/>
  <c r="R166" i="41"/>
  <c r="S166" i="41" s="1"/>
  <c r="H143" i="3"/>
  <c r="I142" i="3"/>
  <c r="M142" i="3" s="1"/>
  <c r="F143" i="3"/>
  <c r="G143" i="3"/>
  <c r="D142" i="3"/>
  <c r="E143" i="3"/>
  <c r="K170" i="3"/>
  <c r="E166" i="41"/>
  <c r="B167" i="41"/>
  <c r="Y167" i="41" s="1"/>
  <c r="O135" i="3"/>
  <c r="R139" i="19"/>
  <c r="U138" i="19"/>
  <c r="U138" i="3"/>
  <c r="Q140" i="3"/>
  <c r="R139" i="3"/>
  <c r="C167" i="41" l="1"/>
  <c r="D167" i="41"/>
  <c r="D155" i="43"/>
  <c r="E155" i="43"/>
  <c r="J164" i="41"/>
  <c r="J165" i="41"/>
  <c r="D157" i="19"/>
  <c r="G154" i="43"/>
  <c r="S154" i="43"/>
  <c r="T154" i="43" s="1"/>
  <c r="J154" i="43" s="1"/>
  <c r="M153" i="43"/>
  <c r="C158" i="19"/>
  <c r="A158" i="19" s="1"/>
  <c r="I153" i="43"/>
  <c r="F154" i="43"/>
  <c r="F158" i="19" s="1"/>
  <c r="H153" i="43"/>
  <c r="L153" i="43"/>
  <c r="K153" i="43" s="1"/>
  <c r="A156" i="43"/>
  <c r="C155" i="43"/>
  <c r="Q155" i="43"/>
  <c r="R155" i="43" s="1"/>
  <c r="W155" i="43"/>
  <c r="K159" i="19" s="1"/>
  <c r="S155" i="43"/>
  <c r="T155" i="43" s="1"/>
  <c r="F155" i="43"/>
  <c r="I166" i="41"/>
  <c r="F166" i="41"/>
  <c r="H166" i="41" s="1"/>
  <c r="G157" i="19"/>
  <c r="I157" i="19"/>
  <c r="M157" i="19" s="1"/>
  <c r="G158" i="19"/>
  <c r="I156" i="19"/>
  <c r="M156" i="19" s="1"/>
  <c r="C171" i="3"/>
  <c r="A170" i="3"/>
  <c r="P167" i="41"/>
  <c r="Q167" i="41" s="1"/>
  <c r="R167" i="41"/>
  <c r="S167" i="41" s="1"/>
  <c r="H144" i="3"/>
  <c r="I143" i="3"/>
  <c r="M143" i="3" s="1"/>
  <c r="F144" i="3"/>
  <c r="G144" i="3"/>
  <c r="D143" i="3"/>
  <c r="E144" i="3"/>
  <c r="K171" i="3"/>
  <c r="B168" i="41"/>
  <c r="Y168" i="41" s="1"/>
  <c r="O136" i="3"/>
  <c r="R140" i="19"/>
  <c r="U139" i="19"/>
  <c r="U139" i="3"/>
  <c r="Q141" i="3"/>
  <c r="R140" i="3"/>
  <c r="C159" i="19" l="1"/>
  <c r="A159" i="19" s="1"/>
  <c r="D168" i="41"/>
  <c r="C168" i="41"/>
  <c r="D156" i="43"/>
  <c r="E156" i="43"/>
  <c r="D158" i="19"/>
  <c r="G155" i="43"/>
  <c r="I155" i="43" s="1"/>
  <c r="E159" i="19"/>
  <c r="H155" i="43"/>
  <c r="L155" i="43"/>
  <c r="K155" i="43" s="1"/>
  <c r="J155" i="43"/>
  <c r="A157" i="43"/>
  <c r="F156" i="43"/>
  <c r="S156" i="43"/>
  <c r="T156" i="43" s="1"/>
  <c r="C156" i="43"/>
  <c r="W156" i="43" s="1"/>
  <c r="K160" i="19" s="1"/>
  <c r="I154" i="43"/>
  <c r="M154" i="43"/>
  <c r="I167" i="41"/>
  <c r="E167" i="41"/>
  <c r="K166" i="41"/>
  <c r="G166" i="41"/>
  <c r="F167" i="41"/>
  <c r="H167" i="41" s="1"/>
  <c r="L166" i="41"/>
  <c r="F159" i="19"/>
  <c r="C172" i="3"/>
  <c r="A171" i="3"/>
  <c r="D159" i="19"/>
  <c r="E168" i="41"/>
  <c r="R168" i="41"/>
  <c r="S168" i="41" s="1"/>
  <c r="H145" i="3"/>
  <c r="I144" i="3"/>
  <c r="M144" i="3" s="1"/>
  <c r="F145" i="3"/>
  <c r="G145" i="3"/>
  <c r="D144" i="3"/>
  <c r="E145" i="3"/>
  <c r="K172" i="3"/>
  <c r="B169" i="41"/>
  <c r="Y169" i="41" s="1"/>
  <c r="O137" i="3"/>
  <c r="R141" i="19"/>
  <c r="U140" i="19"/>
  <c r="U140" i="3"/>
  <c r="Q142" i="3"/>
  <c r="R141" i="3"/>
  <c r="C169" i="41" l="1"/>
  <c r="D169" i="41"/>
  <c r="D157" i="43"/>
  <c r="E157" i="43"/>
  <c r="J166" i="41"/>
  <c r="G159" i="19"/>
  <c r="M155" i="43"/>
  <c r="Q156" i="43"/>
  <c r="R156" i="43" s="1"/>
  <c r="E160" i="19"/>
  <c r="J156" i="43"/>
  <c r="H154" i="43"/>
  <c r="L154" i="43"/>
  <c r="K154" i="43" s="1"/>
  <c r="G156" i="43"/>
  <c r="I156" i="43" s="1"/>
  <c r="A158" i="43"/>
  <c r="C157" i="43"/>
  <c r="W157" i="43" s="1"/>
  <c r="K161" i="19" s="1"/>
  <c r="F157" i="43"/>
  <c r="E161" i="19"/>
  <c r="P168" i="41"/>
  <c r="Q168" i="41" s="1"/>
  <c r="I168" i="41" s="1"/>
  <c r="G167" i="41"/>
  <c r="K167" i="41"/>
  <c r="F168" i="41"/>
  <c r="H168" i="41" s="1"/>
  <c r="L167" i="41"/>
  <c r="C160" i="19"/>
  <c r="A160" i="19" s="1"/>
  <c r="F160" i="19"/>
  <c r="I158" i="19"/>
  <c r="M158" i="19" s="1"/>
  <c r="C173" i="3"/>
  <c r="A172" i="3"/>
  <c r="P169" i="41"/>
  <c r="Q169" i="41" s="1"/>
  <c r="F169" i="41"/>
  <c r="H146" i="3"/>
  <c r="I145" i="3"/>
  <c r="M145" i="3" s="1"/>
  <c r="F146" i="3"/>
  <c r="G146" i="3"/>
  <c r="D145" i="3"/>
  <c r="E146" i="3"/>
  <c r="K173" i="3"/>
  <c r="B170" i="41"/>
  <c r="Y170" i="41" s="1"/>
  <c r="E169" i="41"/>
  <c r="H169" i="41" s="1"/>
  <c r="O138" i="3"/>
  <c r="R142" i="19"/>
  <c r="U141" i="19"/>
  <c r="U141" i="3"/>
  <c r="Q143" i="3"/>
  <c r="R142" i="3"/>
  <c r="C170" i="41" l="1"/>
  <c r="D170" i="41"/>
  <c r="D158" i="43"/>
  <c r="E158" i="43"/>
  <c r="J167" i="41"/>
  <c r="Q157" i="43"/>
  <c r="R157" i="43" s="1"/>
  <c r="G157" i="43"/>
  <c r="I157" i="43" s="1"/>
  <c r="S157" i="43"/>
  <c r="T157" i="43" s="1"/>
  <c r="G160" i="19"/>
  <c r="A159" i="43"/>
  <c r="C158" i="43"/>
  <c r="Q158" i="43"/>
  <c r="R158" i="43" s="1"/>
  <c r="E162" i="19"/>
  <c r="W158" i="43"/>
  <c r="H156" i="43"/>
  <c r="L156" i="43"/>
  <c r="K156" i="43" s="1"/>
  <c r="M156" i="43"/>
  <c r="K169" i="41"/>
  <c r="G169" i="41"/>
  <c r="G168" i="41"/>
  <c r="K168" i="41"/>
  <c r="R169" i="41"/>
  <c r="S169" i="41" s="1"/>
  <c r="I169" i="41" s="1"/>
  <c r="L169" i="41" s="1"/>
  <c r="L168" i="41"/>
  <c r="C161" i="19"/>
  <c r="A161" i="19" s="1"/>
  <c r="D160" i="19"/>
  <c r="F161" i="19"/>
  <c r="I159" i="19"/>
  <c r="M159" i="19" s="1"/>
  <c r="C174" i="3"/>
  <c r="A173" i="3"/>
  <c r="P170" i="41"/>
  <c r="Q170" i="41" s="1"/>
  <c r="R170" i="41"/>
  <c r="S170" i="41" s="1"/>
  <c r="H147" i="3"/>
  <c r="I146" i="3"/>
  <c r="M146" i="3" s="1"/>
  <c r="F147" i="3"/>
  <c r="G147" i="3"/>
  <c r="D146" i="3"/>
  <c r="E147" i="3"/>
  <c r="K174" i="3"/>
  <c r="E170" i="41"/>
  <c r="B171" i="41"/>
  <c r="Y171" i="41" s="1"/>
  <c r="O139" i="3"/>
  <c r="R143" i="19"/>
  <c r="U142" i="19"/>
  <c r="U142" i="3"/>
  <c r="Q144" i="3"/>
  <c r="R143" i="3"/>
  <c r="D171" i="41" l="1"/>
  <c r="C171" i="41"/>
  <c r="D159" i="43"/>
  <c r="E159" i="43"/>
  <c r="J168" i="41"/>
  <c r="J169" i="41"/>
  <c r="G161" i="19"/>
  <c r="S158" i="43"/>
  <c r="T158" i="43" s="1"/>
  <c r="J158" i="43" s="1"/>
  <c r="G158" i="43"/>
  <c r="G162" i="19" s="1"/>
  <c r="L157" i="43"/>
  <c r="K157" i="43" s="1"/>
  <c r="I161" i="19" s="1"/>
  <c r="M161" i="19" s="1"/>
  <c r="H157" i="43"/>
  <c r="J157" i="43"/>
  <c r="M157" i="43" s="1"/>
  <c r="F158" i="43"/>
  <c r="A160" i="43"/>
  <c r="F159" i="43"/>
  <c r="G159" i="43"/>
  <c r="C159" i="43"/>
  <c r="C162" i="19"/>
  <c r="A162" i="19" s="1"/>
  <c r="D161" i="19"/>
  <c r="I170" i="41"/>
  <c r="F170" i="41"/>
  <c r="H170" i="41" s="1"/>
  <c r="F162" i="19"/>
  <c r="I160" i="19"/>
  <c r="M160" i="19" s="1"/>
  <c r="K162" i="19"/>
  <c r="C175" i="3"/>
  <c r="A174" i="3"/>
  <c r="P171" i="41"/>
  <c r="Q171" i="41" s="1"/>
  <c r="R171" i="41"/>
  <c r="S171" i="41" s="1"/>
  <c r="H148" i="3"/>
  <c r="I147" i="3"/>
  <c r="M147" i="3" s="1"/>
  <c r="F148" i="3"/>
  <c r="G148" i="3"/>
  <c r="D147" i="3"/>
  <c r="E148" i="3"/>
  <c r="K175" i="3"/>
  <c r="B172" i="41"/>
  <c r="Y172" i="41" s="1"/>
  <c r="O140" i="3"/>
  <c r="R144" i="19"/>
  <c r="U143" i="19"/>
  <c r="U143" i="3"/>
  <c r="Q145" i="3"/>
  <c r="R144" i="3"/>
  <c r="C172" i="41" l="1"/>
  <c r="D172" i="41"/>
  <c r="E160" i="43"/>
  <c r="D160" i="43"/>
  <c r="Q159" i="43"/>
  <c r="R159" i="43" s="1"/>
  <c r="D162" i="19"/>
  <c r="C163" i="19"/>
  <c r="A163" i="19" s="1"/>
  <c r="I159" i="43"/>
  <c r="W159" i="43"/>
  <c r="K163" i="19" s="1"/>
  <c r="E163" i="19"/>
  <c r="S159" i="43"/>
  <c r="T159" i="43" s="1"/>
  <c r="I158" i="43"/>
  <c r="M158" i="43"/>
  <c r="A161" i="43"/>
  <c r="S160" i="43"/>
  <c r="T160" i="43" s="1"/>
  <c r="C160" i="43"/>
  <c r="Q160" i="43"/>
  <c r="R160" i="43" s="1"/>
  <c r="J160" i="43" s="1"/>
  <c r="I171" i="41"/>
  <c r="E171" i="41"/>
  <c r="G170" i="41"/>
  <c r="K170" i="41"/>
  <c r="F171" i="41"/>
  <c r="H171" i="41" s="1"/>
  <c r="L170" i="41"/>
  <c r="G163" i="19"/>
  <c r="F163" i="19"/>
  <c r="C176" i="3"/>
  <c r="A175" i="3"/>
  <c r="P172" i="41"/>
  <c r="Q172" i="41" s="1"/>
  <c r="I172" i="41" s="1"/>
  <c r="R172" i="41"/>
  <c r="S172" i="41" s="1"/>
  <c r="H149" i="3"/>
  <c r="I148" i="3"/>
  <c r="M148" i="3" s="1"/>
  <c r="F149" i="3"/>
  <c r="G149" i="3"/>
  <c r="D148" i="3"/>
  <c r="E149" i="3"/>
  <c r="K176" i="3"/>
  <c r="B173" i="41"/>
  <c r="Y173" i="41" s="1"/>
  <c r="E172" i="41"/>
  <c r="O141" i="3"/>
  <c r="R145" i="19"/>
  <c r="U144" i="19"/>
  <c r="Q146" i="3"/>
  <c r="R145" i="3"/>
  <c r="U144" i="3"/>
  <c r="C173" i="41" l="1"/>
  <c r="D173" i="41"/>
  <c r="E161" i="43"/>
  <c r="D161" i="43"/>
  <c r="J170" i="41"/>
  <c r="J159" i="43"/>
  <c r="M159" i="43" s="1"/>
  <c r="C164" i="19"/>
  <c r="A164" i="19" s="1"/>
  <c r="D163" i="19"/>
  <c r="F160" i="43"/>
  <c r="F164" i="19" s="1"/>
  <c r="W160" i="43"/>
  <c r="K164" i="19" s="1"/>
  <c r="L158" i="43"/>
  <c r="K158" i="43" s="1"/>
  <c r="H158" i="43"/>
  <c r="G160" i="43"/>
  <c r="E164" i="19"/>
  <c r="A162" i="43"/>
  <c r="Q161" i="43"/>
  <c r="R161" i="43" s="1"/>
  <c r="C161" i="43"/>
  <c r="W161" i="43" s="1"/>
  <c r="E165" i="19"/>
  <c r="H159" i="43"/>
  <c r="L159" i="43"/>
  <c r="K159" i="43" s="1"/>
  <c r="G171" i="41"/>
  <c r="K171" i="41"/>
  <c r="L171" i="41"/>
  <c r="F172" i="41"/>
  <c r="H172" i="41" s="1"/>
  <c r="I162" i="19"/>
  <c r="M162" i="19" s="1"/>
  <c r="C177" i="3"/>
  <c r="A176" i="3"/>
  <c r="P173" i="41"/>
  <c r="Q173" i="41" s="1"/>
  <c r="F173" i="41"/>
  <c r="H150" i="3"/>
  <c r="I149" i="3"/>
  <c r="M149" i="3" s="1"/>
  <c r="F150" i="3"/>
  <c r="G150" i="3"/>
  <c r="D149" i="3"/>
  <c r="E150" i="3"/>
  <c r="K177" i="3"/>
  <c r="B174" i="41"/>
  <c r="Y174" i="41" s="1"/>
  <c r="O142" i="3"/>
  <c r="O143" i="3"/>
  <c r="R146" i="19"/>
  <c r="U145" i="19"/>
  <c r="U145" i="3"/>
  <c r="Q147" i="3"/>
  <c r="R146" i="3"/>
  <c r="C174" i="41" l="1"/>
  <c r="D174" i="41"/>
  <c r="E162" i="43"/>
  <c r="D162" i="43"/>
  <c r="J171" i="41"/>
  <c r="D164" i="19"/>
  <c r="F161" i="43"/>
  <c r="G161" i="43"/>
  <c r="G165" i="19" s="1"/>
  <c r="C165" i="19"/>
  <c r="A165" i="19" s="1"/>
  <c r="S161" i="43"/>
  <c r="T161" i="43" s="1"/>
  <c r="J161" i="43" s="1"/>
  <c r="M161" i="43" s="1"/>
  <c r="A163" i="43"/>
  <c r="C162" i="43"/>
  <c r="Q162" i="43"/>
  <c r="R162" i="43" s="1"/>
  <c r="G162" i="43"/>
  <c r="W162" i="43"/>
  <c r="K166" i="19" s="1"/>
  <c r="M160" i="43"/>
  <c r="I160" i="43"/>
  <c r="I161" i="43"/>
  <c r="E173" i="41"/>
  <c r="H173" i="41" s="1"/>
  <c r="G172" i="41"/>
  <c r="K172" i="41"/>
  <c r="J172" i="41" s="1"/>
  <c r="L172" i="41"/>
  <c r="R173" i="41"/>
  <c r="S173" i="41" s="1"/>
  <c r="I173" i="41" s="1"/>
  <c r="L173" i="41" s="1"/>
  <c r="F165" i="19"/>
  <c r="K165" i="19"/>
  <c r="I163" i="19"/>
  <c r="M163" i="19" s="1"/>
  <c r="G164" i="19"/>
  <c r="C178" i="3"/>
  <c r="A177" i="3"/>
  <c r="P174" i="41"/>
  <c r="Q174" i="41" s="1"/>
  <c r="F174" i="41"/>
  <c r="H151" i="3"/>
  <c r="I150" i="3"/>
  <c r="M150" i="3" s="1"/>
  <c r="F151" i="3"/>
  <c r="G151" i="3"/>
  <c r="D150" i="3"/>
  <c r="E151" i="3"/>
  <c r="B175" i="41"/>
  <c r="Y175" i="41" s="1"/>
  <c r="K178" i="3"/>
  <c r="R147" i="19"/>
  <c r="U146" i="19"/>
  <c r="Q148" i="3"/>
  <c r="R147" i="3"/>
  <c r="U146" i="3"/>
  <c r="C175" i="41" l="1"/>
  <c r="D175" i="41"/>
  <c r="E163" i="43"/>
  <c r="D163" i="43"/>
  <c r="D165" i="19"/>
  <c r="C166" i="19"/>
  <c r="A166" i="19" s="1"/>
  <c r="F162" i="43"/>
  <c r="I162" i="43"/>
  <c r="L162" i="43" s="1"/>
  <c r="K162" i="43" s="1"/>
  <c r="H162" i="43"/>
  <c r="H161" i="43"/>
  <c r="L161" i="43"/>
  <c r="K161" i="43" s="1"/>
  <c r="I165" i="19" s="1"/>
  <c r="M165" i="19" s="1"/>
  <c r="A164" i="43"/>
  <c r="F163" i="43"/>
  <c r="C163" i="43"/>
  <c r="E167" i="19"/>
  <c r="S162" i="43"/>
  <c r="T162" i="43" s="1"/>
  <c r="J162" i="43" s="1"/>
  <c r="M162" i="43" s="1"/>
  <c r="H160" i="43"/>
  <c r="L160" i="43"/>
  <c r="K160" i="43" s="1"/>
  <c r="I164" i="19" s="1"/>
  <c r="M164" i="19" s="1"/>
  <c r="E166" i="19"/>
  <c r="E174" i="41"/>
  <c r="H174" i="41" s="1"/>
  <c r="R174" i="41"/>
  <c r="S174" i="41" s="1"/>
  <c r="I174" i="41" s="1"/>
  <c r="K173" i="41"/>
  <c r="J173" i="41" s="1"/>
  <c r="G173" i="41"/>
  <c r="F166" i="19"/>
  <c r="C179" i="3"/>
  <c r="A178" i="3"/>
  <c r="P175" i="41"/>
  <c r="Q175" i="41" s="1"/>
  <c r="R175" i="41"/>
  <c r="S175" i="41" s="1"/>
  <c r="H152" i="3"/>
  <c r="I151" i="3"/>
  <c r="M151" i="3" s="1"/>
  <c r="F152" i="3"/>
  <c r="G152" i="3"/>
  <c r="D151" i="3"/>
  <c r="E152" i="3"/>
  <c r="K179" i="3"/>
  <c r="B176" i="41"/>
  <c r="Y176" i="41" s="1"/>
  <c r="F175" i="41"/>
  <c r="O144" i="3"/>
  <c r="U147" i="19"/>
  <c r="R148" i="19"/>
  <c r="U147" i="3"/>
  <c r="Q149" i="3"/>
  <c r="R148" i="3"/>
  <c r="C176" i="41" l="1"/>
  <c r="D176" i="41"/>
  <c r="D164" i="43"/>
  <c r="E164" i="43"/>
  <c r="D166" i="19"/>
  <c r="C167" i="19"/>
  <c r="A167" i="19" s="1"/>
  <c r="Q163" i="43"/>
  <c r="R163" i="43" s="1"/>
  <c r="L174" i="41"/>
  <c r="E175" i="41"/>
  <c r="H175" i="41" s="1"/>
  <c r="G163" i="43"/>
  <c r="W163" i="43"/>
  <c r="K167" i="19" s="1"/>
  <c r="A165" i="43"/>
  <c r="S164" i="43"/>
  <c r="T164" i="43" s="1"/>
  <c r="C164" i="43"/>
  <c r="W164" i="43" s="1"/>
  <c r="K168" i="19" s="1"/>
  <c r="F164" i="43"/>
  <c r="S163" i="43"/>
  <c r="T163" i="43" s="1"/>
  <c r="J163" i="43" s="1"/>
  <c r="I175" i="41"/>
  <c r="K174" i="41"/>
  <c r="J174" i="41" s="1"/>
  <c r="G174" i="41"/>
  <c r="F167" i="19"/>
  <c r="I166" i="19"/>
  <c r="M166" i="19" s="1"/>
  <c r="G166" i="19"/>
  <c r="G167" i="19"/>
  <c r="C180" i="3"/>
  <c r="A179" i="3"/>
  <c r="E176" i="41"/>
  <c r="R176" i="41"/>
  <c r="S176" i="41" s="1"/>
  <c r="H153" i="3"/>
  <c r="I152" i="3"/>
  <c r="M152" i="3" s="1"/>
  <c r="F153" i="3"/>
  <c r="G153" i="3"/>
  <c r="D152" i="3"/>
  <c r="E153" i="3"/>
  <c r="K180" i="3"/>
  <c r="B177" i="41"/>
  <c r="Y177" i="41" s="1"/>
  <c r="O145" i="3"/>
  <c r="R149" i="19"/>
  <c r="U148" i="19"/>
  <c r="U148" i="3"/>
  <c r="Q150" i="3"/>
  <c r="R149" i="3"/>
  <c r="C177" i="41" l="1"/>
  <c r="D177" i="41"/>
  <c r="D165" i="43"/>
  <c r="E165" i="43"/>
  <c r="D167" i="19"/>
  <c r="G164" i="43"/>
  <c r="G168" i="19" s="1"/>
  <c r="K175" i="41"/>
  <c r="G175" i="41"/>
  <c r="L175" i="41"/>
  <c r="I164" i="43"/>
  <c r="M163" i="43"/>
  <c r="E168" i="19"/>
  <c r="I163" i="43"/>
  <c r="Q164" i="43"/>
  <c r="R164" i="43" s="1"/>
  <c r="J164" i="43" s="1"/>
  <c r="A166" i="43"/>
  <c r="Q165" i="43"/>
  <c r="R165" i="43" s="1"/>
  <c r="G165" i="43"/>
  <c r="C165" i="43"/>
  <c r="W165" i="43" s="1"/>
  <c r="K169" i="19" s="1"/>
  <c r="C168" i="19"/>
  <c r="A168" i="19" s="1"/>
  <c r="F176" i="41"/>
  <c r="P176" i="41"/>
  <c r="Q176" i="41" s="1"/>
  <c r="I176" i="41" s="1"/>
  <c r="L176" i="41" s="1"/>
  <c r="H176" i="41"/>
  <c r="F168" i="19"/>
  <c r="C181" i="3"/>
  <c r="A180" i="3"/>
  <c r="P177" i="41"/>
  <c r="Q177" i="41" s="1"/>
  <c r="R177" i="41"/>
  <c r="S177" i="41" s="1"/>
  <c r="H154" i="3"/>
  <c r="I153" i="3"/>
  <c r="M153" i="3" s="1"/>
  <c r="F154" i="3"/>
  <c r="G154" i="3"/>
  <c r="D153" i="3"/>
  <c r="E154" i="3"/>
  <c r="K181" i="3"/>
  <c r="B178" i="41"/>
  <c r="Y178" i="41" s="1"/>
  <c r="O146" i="3"/>
  <c r="R150" i="19"/>
  <c r="U149" i="19"/>
  <c r="U149" i="3"/>
  <c r="Q151" i="3"/>
  <c r="R150" i="3"/>
  <c r="C178" i="41" l="1"/>
  <c r="D178" i="41"/>
  <c r="D166" i="43"/>
  <c r="E166" i="43"/>
  <c r="J175" i="41"/>
  <c r="M164" i="43"/>
  <c r="F165" i="43"/>
  <c r="F169" i="19" s="1"/>
  <c r="C169" i="19"/>
  <c r="A169" i="19" s="1"/>
  <c r="D168" i="19"/>
  <c r="S165" i="43"/>
  <c r="T165" i="43" s="1"/>
  <c r="J165" i="43" s="1"/>
  <c r="M165" i="43" s="1"/>
  <c r="L163" i="43"/>
  <c r="K163" i="43" s="1"/>
  <c r="I167" i="19" s="1"/>
  <c r="M167" i="19" s="1"/>
  <c r="H163" i="43"/>
  <c r="A167" i="43"/>
  <c r="E170" i="19"/>
  <c r="C166" i="43"/>
  <c r="W166" i="43" s="1"/>
  <c r="K170" i="19" s="1"/>
  <c r="F166" i="43"/>
  <c r="H164" i="43"/>
  <c r="L164" i="43"/>
  <c r="K164" i="43" s="1"/>
  <c r="I168" i="19" s="1"/>
  <c r="M168" i="19" s="1"/>
  <c r="I165" i="43"/>
  <c r="E169" i="19"/>
  <c r="E177" i="41"/>
  <c r="I177" i="41"/>
  <c r="F177" i="41"/>
  <c r="G176" i="41"/>
  <c r="K176" i="41"/>
  <c r="J176" i="41" s="1"/>
  <c r="G169" i="19"/>
  <c r="C182" i="3"/>
  <c r="A181" i="3"/>
  <c r="E178" i="41"/>
  <c r="R178" i="41"/>
  <c r="S178" i="41" s="1"/>
  <c r="H155" i="3"/>
  <c r="I154" i="3"/>
  <c r="M154" i="3" s="1"/>
  <c r="F155" i="3"/>
  <c r="G155" i="3"/>
  <c r="D154" i="3"/>
  <c r="E155" i="3"/>
  <c r="K182" i="3"/>
  <c r="F178" i="41"/>
  <c r="B179" i="41"/>
  <c r="Y179" i="41" s="1"/>
  <c r="O147" i="3"/>
  <c r="R151" i="19"/>
  <c r="U150" i="19"/>
  <c r="U150" i="3"/>
  <c r="Q152" i="3"/>
  <c r="R151" i="3"/>
  <c r="C179" i="41" l="1"/>
  <c r="D179" i="41"/>
  <c r="E167" i="43"/>
  <c r="D167" i="43"/>
  <c r="D169" i="19"/>
  <c r="S166" i="43"/>
  <c r="T166" i="43" s="1"/>
  <c r="L165" i="43"/>
  <c r="K165" i="43" s="1"/>
  <c r="H165" i="43"/>
  <c r="Q166" i="43"/>
  <c r="R166" i="43" s="1"/>
  <c r="J166" i="43" s="1"/>
  <c r="A168" i="43"/>
  <c r="S167" i="43"/>
  <c r="T167" i="43" s="1"/>
  <c r="F167" i="43"/>
  <c r="C167" i="43"/>
  <c r="W167" i="43" s="1"/>
  <c r="K171" i="19" s="1"/>
  <c r="C170" i="19"/>
  <c r="A170" i="19" s="1"/>
  <c r="G166" i="43"/>
  <c r="L177" i="41"/>
  <c r="P178" i="41"/>
  <c r="Q178" i="41" s="1"/>
  <c r="I178" i="41" s="1"/>
  <c r="L178" i="41" s="1"/>
  <c r="H178" i="41"/>
  <c r="H177" i="41"/>
  <c r="F170" i="19"/>
  <c r="G170" i="19"/>
  <c r="C183" i="3"/>
  <c r="A182" i="3"/>
  <c r="P179" i="41"/>
  <c r="Q179" i="41" s="1"/>
  <c r="R179" i="41"/>
  <c r="S179" i="41" s="1"/>
  <c r="H156" i="3"/>
  <c r="I155" i="3"/>
  <c r="M155" i="3" s="1"/>
  <c r="F156" i="3"/>
  <c r="G156" i="3"/>
  <c r="D155" i="3"/>
  <c r="E156" i="3"/>
  <c r="K183" i="3"/>
  <c r="B180" i="41"/>
  <c r="Y180" i="41" s="1"/>
  <c r="O148" i="3"/>
  <c r="R152" i="19"/>
  <c r="U151" i="19"/>
  <c r="U151" i="3"/>
  <c r="Q153" i="3"/>
  <c r="R152" i="3"/>
  <c r="D180" i="41" l="1"/>
  <c r="C180" i="41"/>
  <c r="E168" i="43"/>
  <c r="D168" i="43"/>
  <c r="M166" i="43"/>
  <c r="Q167" i="43"/>
  <c r="R167" i="43" s="1"/>
  <c r="J167" i="43"/>
  <c r="E171" i="19"/>
  <c r="D170" i="19"/>
  <c r="G167" i="43"/>
  <c r="I167" i="43" s="1"/>
  <c r="G168" i="43"/>
  <c r="C168" i="43"/>
  <c r="F168" i="43"/>
  <c r="A169" i="43"/>
  <c r="W168" i="43"/>
  <c r="K172" i="19" s="1"/>
  <c r="S168" i="43"/>
  <c r="T168" i="43" s="1"/>
  <c r="I166" i="43"/>
  <c r="I179" i="41"/>
  <c r="F179" i="41"/>
  <c r="E179" i="41"/>
  <c r="K177" i="41"/>
  <c r="J177" i="41" s="1"/>
  <c r="G177" i="41"/>
  <c r="K178" i="41"/>
  <c r="J178" i="41" s="1"/>
  <c r="G178" i="41"/>
  <c r="F171" i="19"/>
  <c r="C171" i="19"/>
  <c r="A171" i="19" s="1"/>
  <c r="I169" i="19"/>
  <c r="M169" i="19" s="1"/>
  <c r="C184" i="3"/>
  <c r="A183" i="3"/>
  <c r="E180" i="41"/>
  <c r="R180" i="41"/>
  <c r="S180" i="41" s="1"/>
  <c r="H157" i="3"/>
  <c r="I156" i="3"/>
  <c r="M156" i="3" s="1"/>
  <c r="F157" i="3"/>
  <c r="G157" i="3"/>
  <c r="D156" i="3"/>
  <c r="E157" i="3"/>
  <c r="K184" i="3"/>
  <c r="B181" i="41"/>
  <c r="Y181" i="41" s="1"/>
  <c r="F180" i="41"/>
  <c r="O149" i="3"/>
  <c r="R153" i="19"/>
  <c r="U152" i="19"/>
  <c r="U152" i="3"/>
  <c r="Q154" i="3"/>
  <c r="R153" i="3"/>
  <c r="D181" i="41" l="1"/>
  <c r="C181" i="41"/>
  <c r="E169" i="43"/>
  <c r="D169" i="43"/>
  <c r="G171" i="19"/>
  <c r="L179" i="41"/>
  <c r="E172" i="19"/>
  <c r="I168" i="43"/>
  <c r="F169" i="43"/>
  <c r="E173" i="19"/>
  <c r="C169" i="43"/>
  <c r="W169" i="43" s="1"/>
  <c r="K173" i="19" s="1"/>
  <c r="A170" i="43"/>
  <c r="Q168" i="43"/>
  <c r="R168" i="43" s="1"/>
  <c r="J168" i="43" s="1"/>
  <c r="M168" i="43" s="1"/>
  <c r="H167" i="43"/>
  <c r="L167" i="43"/>
  <c r="K167" i="43" s="1"/>
  <c r="H166" i="43"/>
  <c r="L166" i="43"/>
  <c r="K166" i="43" s="1"/>
  <c r="I170" i="19" s="1"/>
  <c r="M170" i="19" s="1"/>
  <c r="M167" i="43"/>
  <c r="P180" i="41"/>
  <c r="Q180" i="41" s="1"/>
  <c r="I180" i="41" s="1"/>
  <c r="L180" i="41" s="1"/>
  <c r="H179" i="41"/>
  <c r="H180" i="41"/>
  <c r="D171" i="19"/>
  <c r="C172" i="19"/>
  <c r="A172" i="19" s="1"/>
  <c r="F172" i="19"/>
  <c r="G172" i="19"/>
  <c r="C185" i="3"/>
  <c r="A184" i="3"/>
  <c r="E181" i="41"/>
  <c r="R181" i="41"/>
  <c r="S181" i="41" s="1"/>
  <c r="H158" i="3"/>
  <c r="I157" i="3"/>
  <c r="M157" i="3" s="1"/>
  <c r="F158" i="3"/>
  <c r="G158" i="3"/>
  <c r="D157" i="3"/>
  <c r="E158" i="3"/>
  <c r="K185" i="3"/>
  <c r="B182" i="41"/>
  <c r="Y182" i="41" s="1"/>
  <c r="F181" i="41"/>
  <c r="O150" i="3"/>
  <c r="R154" i="19"/>
  <c r="U153" i="19"/>
  <c r="U153" i="3"/>
  <c r="Q155" i="3"/>
  <c r="R154" i="3"/>
  <c r="D182" i="41" l="1"/>
  <c r="C182" i="41"/>
  <c r="E170" i="43"/>
  <c r="D170" i="43"/>
  <c r="S169" i="43"/>
  <c r="T169" i="43" s="1"/>
  <c r="Q169" i="43"/>
  <c r="R169" i="43" s="1"/>
  <c r="J169" i="43" s="1"/>
  <c r="G169" i="43"/>
  <c r="I169" i="43" s="1"/>
  <c r="C173" i="19"/>
  <c r="A173" i="19" s="1"/>
  <c r="Q170" i="43"/>
  <c r="R170" i="43" s="1"/>
  <c r="C170" i="43"/>
  <c r="W170" i="43" s="1"/>
  <c r="K174" i="19" s="1"/>
  <c r="A171" i="43"/>
  <c r="E174" i="19"/>
  <c r="L168" i="43"/>
  <c r="K168" i="43" s="1"/>
  <c r="H168" i="43"/>
  <c r="P181" i="41"/>
  <c r="Q181" i="41" s="1"/>
  <c r="K179" i="41"/>
  <c r="J179" i="41" s="1"/>
  <c r="G179" i="41"/>
  <c r="I181" i="41"/>
  <c r="L181" i="41" s="1"/>
  <c r="H181" i="41"/>
  <c r="K180" i="41"/>
  <c r="J180" i="41" s="1"/>
  <c r="G180" i="41"/>
  <c r="D172" i="19"/>
  <c r="F173" i="19"/>
  <c r="I171" i="19"/>
  <c r="M171" i="19" s="1"/>
  <c r="C186" i="3"/>
  <c r="A185" i="3"/>
  <c r="E182" i="41"/>
  <c r="R182" i="41"/>
  <c r="S182" i="41" s="1"/>
  <c r="H159" i="3"/>
  <c r="I158" i="3"/>
  <c r="M158" i="3" s="1"/>
  <c r="F159" i="3"/>
  <c r="G159" i="3"/>
  <c r="D158" i="3"/>
  <c r="E159" i="3"/>
  <c r="K186" i="3"/>
  <c r="F182" i="41"/>
  <c r="B183" i="41"/>
  <c r="Y183" i="41" s="1"/>
  <c r="O151" i="3"/>
  <c r="R155" i="19"/>
  <c r="U154" i="19"/>
  <c r="U154" i="3"/>
  <c r="Q156" i="3"/>
  <c r="R155" i="3"/>
  <c r="C183" i="41" l="1"/>
  <c r="D183" i="41"/>
  <c r="D171" i="43"/>
  <c r="E171" i="43"/>
  <c r="S170" i="43"/>
  <c r="T170" i="43" s="1"/>
  <c r="J170" i="43" s="1"/>
  <c r="G170" i="43"/>
  <c r="G174" i="19" s="1"/>
  <c r="G173" i="19"/>
  <c r="H169" i="43"/>
  <c r="L169" i="43"/>
  <c r="K169" i="43" s="1"/>
  <c r="A172" i="43"/>
  <c r="C171" i="43"/>
  <c r="W171" i="43" s="1"/>
  <c r="K175" i="19" s="1"/>
  <c r="F171" i="43"/>
  <c r="E175" i="19"/>
  <c r="D173" i="19"/>
  <c r="M169" i="43"/>
  <c r="F170" i="43"/>
  <c r="F174" i="19" s="1"/>
  <c r="C174" i="19"/>
  <c r="A174" i="19" s="1"/>
  <c r="P182" i="41"/>
  <c r="Q182" i="41" s="1"/>
  <c r="I182" i="41" s="1"/>
  <c r="L182" i="41" s="1"/>
  <c r="H182" i="41"/>
  <c r="G181" i="41"/>
  <c r="K181" i="41"/>
  <c r="J181" i="41" s="1"/>
  <c r="I172" i="19"/>
  <c r="M172" i="19" s="1"/>
  <c r="C187" i="3"/>
  <c r="A186" i="3"/>
  <c r="P183" i="41"/>
  <c r="Q183" i="41" s="1"/>
  <c r="R183" i="41"/>
  <c r="S183" i="41" s="1"/>
  <c r="H160" i="3"/>
  <c r="I159" i="3"/>
  <c r="M159" i="3" s="1"/>
  <c r="F160" i="3"/>
  <c r="G160" i="3"/>
  <c r="D159" i="3"/>
  <c r="E160" i="3"/>
  <c r="K187" i="3"/>
  <c r="F183" i="41"/>
  <c r="B184" i="41"/>
  <c r="Y184" i="41" s="1"/>
  <c r="O152" i="3"/>
  <c r="R156" i="19"/>
  <c r="U155" i="19"/>
  <c r="U155" i="3"/>
  <c r="Q157" i="3"/>
  <c r="R156" i="3"/>
  <c r="C184" i="41" l="1"/>
  <c r="D184" i="41"/>
  <c r="D172" i="43"/>
  <c r="E172" i="43"/>
  <c r="G171" i="43"/>
  <c r="G175" i="19" s="1"/>
  <c r="S171" i="43"/>
  <c r="T171" i="43" s="1"/>
  <c r="D174" i="19"/>
  <c r="C175" i="19"/>
  <c r="A175" i="19" s="1"/>
  <c r="I171" i="43"/>
  <c r="Q171" i="43"/>
  <c r="R171" i="43" s="1"/>
  <c r="I170" i="43"/>
  <c r="M170" i="43"/>
  <c r="A173" i="43"/>
  <c r="S172" i="43"/>
  <c r="T172" i="43" s="1"/>
  <c r="C172" i="43"/>
  <c r="W172" i="43" s="1"/>
  <c r="K176" i="19" s="1"/>
  <c r="F172" i="43"/>
  <c r="I183" i="41"/>
  <c r="E183" i="41"/>
  <c r="G182" i="41"/>
  <c r="K182" i="41"/>
  <c r="J182" i="41" s="1"/>
  <c r="F175" i="19"/>
  <c r="I173" i="19"/>
  <c r="M173" i="19" s="1"/>
  <c r="C188" i="3"/>
  <c r="A187" i="3"/>
  <c r="E184" i="41"/>
  <c r="R184" i="41"/>
  <c r="S184" i="41" s="1"/>
  <c r="H161" i="3"/>
  <c r="I160" i="3"/>
  <c r="M160" i="3" s="1"/>
  <c r="F161" i="3"/>
  <c r="G161" i="3"/>
  <c r="D160" i="3"/>
  <c r="E161" i="3"/>
  <c r="K188" i="3"/>
  <c r="B185" i="41"/>
  <c r="Y185" i="41" s="1"/>
  <c r="F184" i="41"/>
  <c r="O153" i="3"/>
  <c r="R157" i="19"/>
  <c r="U156" i="19"/>
  <c r="U156" i="3"/>
  <c r="Q158" i="3"/>
  <c r="R157" i="3"/>
  <c r="C185" i="41" l="1"/>
  <c r="D185" i="41"/>
  <c r="D173" i="43"/>
  <c r="E173" i="43"/>
  <c r="J171" i="43"/>
  <c r="M171" i="43" s="1"/>
  <c r="D175" i="19"/>
  <c r="C176" i="19"/>
  <c r="A176" i="19" s="1"/>
  <c r="E176" i="19"/>
  <c r="Q172" i="43"/>
  <c r="R172" i="43" s="1"/>
  <c r="J172" i="43" s="1"/>
  <c r="L171" i="43"/>
  <c r="K171" i="43" s="1"/>
  <c r="H171" i="43"/>
  <c r="G172" i="43"/>
  <c r="G176" i="19" s="1"/>
  <c r="A174" i="43"/>
  <c r="F173" i="43"/>
  <c r="C173" i="43"/>
  <c r="W173" i="43" s="1"/>
  <c r="K177" i="19" s="1"/>
  <c r="E177" i="19"/>
  <c r="L170" i="43"/>
  <c r="K170" i="43" s="1"/>
  <c r="I174" i="19" s="1"/>
  <c r="M174" i="19" s="1"/>
  <c r="H170" i="43"/>
  <c r="H184" i="41"/>
  <c r="P184" i="41"/>
  <c r="Q184" i="41" s="1"/>
  <c r="I184" i="41" s="1"/>
  <c r="L184" i="41" s="1"/>
  <c r="L183" i="41"/>
  <c r="H183" i="41"/>
  <c r="F176" i="19"/>
  <c r="I175" i="19"/>
  <c r="M175" i="19" s="1"/>
  <c r="C189" i="3"/>
  <c r="A188" i="3"/>
  <c r="E185" i="41"/>
  <c r="R185" i="41"/>
  <c r="S185" i="41" s="1"/>
  <c r="H162" i="3"/>
  <c r="I161" i="3"/>
  <c r="M161" i="3" s="1"/>
  <c r="F162" i="3"/>
  <c r="G162" i="3"/>
  <c r="D161" i="3"/>
  <c r="E162" i="3"/>
  <c r="K189" i="3"/>
  <c r="B186" i="41"/>
  <c r="Y186" i="41" s="1"/>
  <c r="O154" i="3"/>
  <c r="R158" i="19"/>
  <c r="U157" i="19"/>
  <c r="U157" i="3"/>
  <c r="Q159" i="3"/>
  <c r="R158" i="3"/>
  <c r="C186" i="41" l="1"/>
  <c r="D186" i="41"/>
  <c r="E174" i="43"/>
  <c r="D174" i="43"/>
  <c r="D176" i="19"/>
  <c r="C177" i="19"/>
  <c r="A177" i="19" s="1"/>
  <c r="G173" i="43"/>
  <c r="G177" i="19" s="1"/>
  <c r="I173" i="43"/>
  <c r="Q173" i="43"/>
  <c r="R173" i="43" s="1"/>
  <c r="A175" i="43"/>
  <c r="E178" i="19"/>
  <c r="F174" i="43"/>
  <c r="C174" i="43"/>
  <c r="W174" i="43" s="1"/>
  <c r="K178" i="19" s="1"/>
  <c r="M172" i="43"/>
  <c r="S173" i="43"/>
  <c r="T173" i="43" s="1"/>
  <c r="I172" i="43"/>
  <c r="P185" i="41"/>
  <c r="Q185" i="41" s="1"/>
  <c r="I185" i="41" s="1"/>
  <c r="F185" i="41"/>
  <c r="H185" i="41"/>
  <c r="L185" i="41"/>
  <c r="G183" i="41"/>
  <c r="K183" i="41"/>
  <c r="J183" i="41" s="1"/>
  <c r="K184" i="41"/>
  <c r="J184" i="41" s="1"/>
  <c r="G184" i="41"/>
  <c r="F177" i="19"/>
  <c r="C190" i="3"/>
  <c r="A189" i="3"/>
  <c r="E186" i="41"/>
  <c r="R186" i="41"/>
  <c r="S186" i="41" s="1"/>
  <c r="P186" i="41"/>
  <c r="H163" i="3"/>
  <c r="I162" i="3"/>
  <c r="M162" i="3" s="1"/>
  <c r="F163" i="3"/>
  <c r="G163" i="3"/>
  <c r="D162" i="3"/>
  <c r="E163" i="3"/>
  <c r="K190" i="3"/>
  <c r="Q186" i="41"/>
  <c r="I186" i="41" s="1"/>
  <c r="F186" i="41"/>
  <c r="B187" i="41"/>
  <c r="Y187" i="41" s="1"/>
  <c r="O155" i="3"/>
  <c r="R159" i="19"/>
  <c r="U158" i="19"/>
  <c r="U158" i="3"/>
  <c r="Q160" i="3"/>
  <c r="R159" i="3"/>
  <c r="C187" i="41" l="1"/>
  <c r="D187" i="41"/>
  <c r="E175" i="43"/>
  <c r="D175" i="43"/>
  <c r="D177" i="19"/>
  <c r="G174" i="43"/>
  <c r="I174" i="43" s="1"/>
  <c r="S174" i="43"/>
  <c r="T174" i="43" s="1"/>
  <c r="Q174" i="43"/>
  <c r="R174" i="43" s="1"/>
  <c r="A176" i="43"/>
  <c r="Q175" i="43"/>
  <c r="R175" i="43" s="1"/>
  <c r="C175" i="43"/>
  <c r="W175" i="43" s="1"/>
  <c r="K179" i="19" s="1"/>
  <c r="G175" i="43"/>
  <c r="L173" i="43"/>
  <c r="K173" i="43" s="1"/>
  <c r="I177" i="19" s="1"/>
  <c r="M177" i="19" s="1"/>
  <c r="H173" i="43"/>
  <c r="H172" i="43"/>
  <c r="L172" i="43"/>
  <c r="K172" i="43" s="1"/>
  <c r="I176" i="19" s="1"/>
  <c r="M176" i="19" s="1"/>
  <c r="J173" i="43"/>
  <c r="M173" i="43" s="1"/>
  <c r="H186" i="41"/>
  <c r="L186" i="41"/>
  <c r="G185" i="41"/>
  <c r="K185" i="41"/>
  <c r="J185" i="41" s="1"/>
  <c r="F178" i="19"/>
  <c r="C178" i="19"/>
  <c r="A178" i="19" s="1"/>
  <c r="G178" i="19"/>
  <c r="C191" i="3"/>
  <c r="A190" i="3"/>
  <c r="E187" i="41"/>
  <c r="R187" i="41"/>
  <c r="S187" i="41" s="1"/>
  <c r="H164" i="3"/>
  <c r="I163" i="3"/>
  <c r="M163" i="3" s="1"/>
  <c r="F164" i="3"/>
  <c r="G164" i="3"/>
  <c r="D163" i="3"/>
  <c r="E164" i="3"/>
  <c r="K191" i="3"/>
  <c r="B188" i="41"/>
  <c r="Y188" i="41" s="1"/>
  <c r="O156" i="3"/>
  <c r="R160" i="19"/>
  <c r="U159" i="19"/>
  <c r="U159" i="3"/>
  <c r="Q161" i="3"/>
  <c r="R160" i="3"/>
  <c r="C188" i="41" l="1"/>
  <c r="D188" i="41"/>
  <c r="E176" i="43"/>
  <c r="D176" i="43"/>
  <c r="J174" i="43"/>
  <c r="M174" i="43" s="1"/>
  <c r="H174" i="43"/>
  <c r="L174" i="43"/>
  <c r="K174" i="43" s="1"/>
  <c r="F175" i="43"/>
  <c r="S175" i="43"/>
  <c r="T175" i="43" s="1"/>
  <c r="J175" i="43" s="1"/>
  <c r="E179" i="19"/>
  <c r="A177" i="43"/>
  <c r="C176" i="43"/>
  <c r="W176" i="43" s="1"/>
  <c r="K180" i="19" s="1"/>
  <c r="G176" i="43"/>
  <c r="F176" i="43"/>
  <c r="P187" i="41"/>
  <c r="Q187" i="41" s="1"/>
  <c r="I187" i="41" s="1"/>
  <c r="F187" i="41"/>
  <c r="H187" i="41" s="1"/>
  <c r="G186" i="41"/>
  <c r="K186" i="41"/>
  <c r="J186" i="41" s="1"/>
  <c r="D178" i="19"/>
  <c r="C179" i="19"/>
  <c r="A179" i="19" s="1"/>
  <c r="G179" i="19"/>
  <c r="C192" i="3"/>
  <c r="A191" i="3"/>
  <c r="E188" i="41"/>
  <c r="R188" i="41"/>
  <c r="S188" i="41" s="1"/>
  <c r="H165" i="3"/>
  <c r="I164" i="3"/>
  <c r="M164" i="3" s="1"/>
  <c r="F165" i="3"/>
  <c r="G165" i="3"/>
  <c r="D164" i="3"/>
  <c r="E165" i="3"/>
  <c r="K192" i="3"/>
  <c r="B189" i="41"/>
  <c r="Y189" i="41" s="1"/>
  <c r="F188" i="41"/>
  <c r="O157" i="3"/>
  <c r="O158" i="3"/>
  <c r="R161" i="19"/>
  <c r="U160" i="19"/>
  <c r="U160" i="3"/>
  <c r="Q162" i="3"/>
  <c r="R161" i="3"/>
  <c r="D189" i="41" l="1"/>
  <c r="C189" i="41"/>
  <c r="D177" i="43"/>
  <c r="E177" i="43"/>
  <c r="M175" i="43"/>
  <c r="I175" i="43"/>
  <c r="H175" i="43" s="1"/>
  <c r="F179" i="19"/>
  <c r="S176" i="43"/>
  <c r="T176" i="43" s="1"/>
  <c r="E180" i="19"/>
  <c r="I176" i="43"/>
  <c r="L175" i="43"/>
  <c r="K175" i="43" s="1"/>
  <c r="Q176" i="43"/>
  <c r="R176" i="43" s="1"/>
  <c r="A178" i="43"/>
  <c r="F177" i="43"/>
  <c r="E181" i="19"/>
  <c r="C177" i="43"/>
  <c r="W177" i="43" s="1"/>
  <c r="K181" i="19" s="1"/>
  <c r="P188" i="41"/>
  <c r="Q188" i="41" s="1"/>
  <c r="I188" i="41" s="1"/>
  <c r="L187" i="41"/>
  <c r="K187" i="41"/>
  <c r="J187" i="41" s="1"/>
  <c r="G187" i="41"/>
  <c r="L188" i="41"/>
  <c r="H188" i="41"/>
  <c r="D179" i="19"/>
  <c r="C180" i="19"/>
  <c r="A180" i="19" s="1"/>
  <c r="F180" i="19"/>
  <c r="I178" i="19"/>
  <c r="M178" i="19" s="1"/>
  <c r="G180" i="19"/>
  <c r="H60" i="3"/>
  <c r="C193" i="3"/>
  <c r="A192" i="3"/>
  <c r="P189" i="41"/>
  <c r="Q189" i="41" s="1"/>
  <c r="R189" i="41"/>
  <c r="S189" i="41" s="1"/>
  <c r="H166" i="3"/>
  <c r="I165" i="3"/>
  <c r="M165" i="3" s="1"/>
  <c r="F166" i="3"/>
  <c r="G166" i="3"/>
  <c r="D165" i="3"/>
  <c r="E166" i="3"/>
  <c r="E189" i="41"/>
  <c r="K193" i="3"/>
  <c r="B190" i="41"/>
  <c r="Y190" i="41" s="1"/>
  <c r="F189" i="41"/>
  <c r="O159" i="3"/>
  <c r="R162" i="19"/>
  <c r="U161" i="19"/>
  <c r="U161" i="3"/>
  <c r="Q163" i="3"/>
  <c r="R162" i="3"/>
  <c r="C190" i="41" l="1"/>
  <c r="D190" i="41"/>
  <c r="D178" i="43"/>
  <c r="E178" i="43"/>
  <c r="J176" i="43"/>
  <c r="M176" i="43" s="1"/>
  <c r="Q177" i="43"/>
  <c r="R177" i="43" s="1"/>
  <c r="S177" i="43"/>
  <c r="T177" i="43" s="1"/>
  <c r="G177" i="43"/>
  <c r="G181" i="19" s="1"/>
  <c r="J177" i="43"/>
  <c r="M177" i="43" s="1"/>
  <c r="A179" i="43"/>
  <c r="F178" i="43"/>
  <c r="C178" i="43"/>
  <c r="E182" i="19"/>
  <c r="W178" i="43"/>
  <c r="K182" i="19" s="1"/>
  <c r="C181" i="19"/>
  <c r="A181" i="19" s="1"/>
  <c r="H176" i="43"/>
  <c r="L176" i="43"/>
  <c r="K176" i="43" s="1"/>
  <c r="D180" i="19"/>
  <c r="H189" i="41"/>
  <c r="G189" i="41" s="1"/>
  <c r="I189" i="41"/>
  <c r="L189" i="41" s="1"/>
  <c r="G188" i="41"/>
  <c r="K188" i="41"/>
  <c r="J188" i="41" s="1"/>
  <c r="I179" i="19"/>
  <c r="M179" i="19" s="1"/>
  <c r="H59" i="3"/>
  <c r="C194" i="3"/>
  <c r="A193" i="3"/>
  <c r="E190" i="41"/>
  <c r="R190" i="41"/>
  <c r="S190" i="41" s="1"/>
  <c r="H167" i="3"/>
  <c r="I166" i="3"/>
  <c r="M166" i="3" s="1"/>
  <c r="F167" i="3"/>
  <c r="G167" i="3"/>
  <c r="D166" i="3"/>
  <c r="E167" i="3"/>
  <c r="K194" i="3"/>
  <c r="B191" i="41"/>
  <c r="Y191" i="41" s="1"/>
  <c r="O160" i="3"/>
  <c r="R163" i="19"/>
  <c r="U162" i="19"/>
  <c r="U162" i="3"/>
  <c r="Q164" i="3"/>
  <c r="R163" i="3"/>
  <c r="D191" i="41" l="1"/>
  <c r="C191" i="41"/>
  <c r="E179" i="43"/>
  <c r="D179" i="43"/>
  <c r="I177" i="43"/>
  <c r="Q178" i="43"/>
  <c r="R178" i="43" s="1"/>
  <c r="S178" i="43"/>
  <c r="T178" i="43" s="1"/>
  <c r="K189" i="41"/>
  <c r="J189" i="41" s="1"/>
  <c r="C182" i="19"/>
  <c r="A182" i="19" s="1"/>
  <c r="D181" i="19"/>
  <c r="G178" i="43"/>
  <c r="G182" i="19" s="1"/>
  <c r="A180" i="43"/>
  <c r="E183" i="19"/>
  <c r="C179" i="43"/>
  <c r="W179" i="43" s="1"/>
  <c r="F179" i="43"/>
  <c r="H177" i="43"/>
  <c r="L177" i="43"/>
  <c r="K177" i="43" s="1"/>
  <c r="P190" i="41"/>
  <c r="Q190" i="41" s="1"/>
  <c r="I190" i="41" s="1"/>
  <c r="F190" i="41"/>
  <c r="H190" i="41" s="1"/>
  <c r="F182" i="19"/>
  <c r="I180" i="19"/>
  <c r="M180" i="19" s="1"/>
  <c r="F181" i="19"/>
  <c r="H58" i="3"/>
  <c r="C195" i="3"/>
  <c r="A194" i="3"/>
  <c r="E191" i="41"/>
  <c r="R191" i="41"/>
  <c r="S191" i="41" s="1"/>
  <c r="H168" i="3"/>
  <c r="I167" i="3"/>
  <c r="M167" i="3" s="1"/>
  <c r="F168" i="3"/>
  <c r="G168" i="3"/>
  <c r="D167" i="3"/>
  <c r="E168" i="3"/>
  <c r="K195" i="3"/>
  <c r="B192" i="41"/>
  <c r="Y192" i="41" s="1"/>
  <c r="F191" i="41"/>
  <c r="O161" i="3"/>
  <c r="R164" i="19"/>
  <c r="U163" i="19"/>
  <c r="U163" i="3"/>
  <c r="Q165" i="3"/>
  <c r="R164" i="3"/>
  <c r="C192" i="41" l="1"/>
  <c r="D192" i="41"/>
  <c r="E180" i="43"/>
  <c r="D180" i="43"/>
  <c r="S179" i="43"/>
  <c r="T179" i="43" s="1"/>
  <c r="C183" i="19"/>
  <c r="A183" i="19" s="1"/>
  <c r="D182" i="19"/>
  <c r="Q179" i="43"/>
  <c r="R179" i="43" s="1"/>
  <c r="J179" i="43" s="1"/>
  <c r="M179" i="43" s="1"/>
  <c r="G179" i="43"/>
  <c r="I179" i="43" s="1"/>
  <c r="J178" i="43"/>
  <c r="A181" i="43"/>
  <c r="F180" i="43"/>
  <c r="S180" i="43"/>
  <c r="T180" i="43" s="1"/>
  <c r="C180" i="43"/>
  <c r="Q180" i="43"/>
  <c r="R180" i="43" s="1"/>
  <c r="J180" i="43" s="1"/>
  <c r="M178" i="43"/>
  <c r="I178" i="43"/>
  <c r="H191" i="41"/>
  <c r="K190" i="41"/>
  <c r="G190" i="41"/>
  <c r="L190" i="41"/>
  <c r="P191" i="41"/>
  <c r="Q191" i="41" s="1"/>
  <c r="I191" i="41" s="1"/>
  <c r="L191" i="41" s="1"/>
  <c r="I181" i="19"/>
  <c r="M181" i="19" s="1"/>
  <c r="K183" i="19"/>
  <c r="F183" i="19"/>
  <c r="H57" i="3"/>
  <c r="C196" i="3"/>
  <c r="A195" i="3"/>
  <c r="E192" i="41"/>
  <c r="F192" i="41"/>
  <c r="H169" i="3"/>
  <c r="I168" i="3"/>
  <c r="M168" i="3" s="1"/>
  <c r="F169" i="3"/>
  <c r="G169" i="3"/>
  <c r="D168" i="3"/>
  <c r="E169" i="3"/>
  <c r="K196" i="3"/>
  <c r="B193" i="41"/>
  <c r="Y193" i="41" s="1"/>
  <c r="R165" i="19"/>
  <c r="U164" i="19"/>
  <c r="O162" i="3"/>
  <c r="O163" i="3"/>
  <c r="U164" i="3"/>
  <c r="Q166" i="3"/>
  <c r="R165" i="3"/>
  <c r="C193" i="41" l="1"/>
  <c r="D193" i="41"/>
  <c r="E181" i="43"/>
  <c r="D181" i="43"/>
  <c r="J190" i="41"/>
  <c r="G183" i="19"/>
  <c r="D183" i="19"/>
  <c r="C184" i="19"/>
  <c r="A184" i="19" s="1"/>
  <c r="G180" i="43"/>
  <c r="M180" i="43" s="1"/>
  <c r="I180" i="43"/>
  <c r="H180" i="43" s="1"/>
  <c r="G184" i="19"/>
  <c r="E184" i="19"/>
  <c r="W180" i="43"/>
  <c r="K184" i="19" s="1"/>
  <c r="H178" i="43"/>
  <c r="L178" i="43"/>
  <c r="K178" i="43" s="1"/>
  <c r="I182" i="19" s="1"/>
  <c r="M182" i="19" s="1"/>
  <c r="A182" i="43"/>
  <c r="C181" i="43"/>
  <c r="S181" i="43"/>
  <c r="T181" i="43" s="1"/>
  <c r="F181" i="43"/>
  <c r="H179" i="43"/>
  <c r="L179" i="43"/>
  <c r="K179" i="43" s="1"/>
  <c r="H192" i="41"/>
  <c r="P192" i="41"/>
  <c r="Q192" i="41" s="1"/>
  <c r="R192" i="41"/>
  <c r="S192" i="41" s="1"/>
  <c r="K191" i="41"/>
  <c r="J191" i="41" s="1"/>
  <c r="G191" i="41"/>
  <c r="F184" i="19"/>
  <c r="H56" i="3"/>
  <c r="C197" i="3"/>
  <c r="A196" i="3"/>
  <c r="E193" i="41"/>
  <c r="R193" i="41"/>
  <c r="S193" i="41" s="1"/>
  <c r="P193" i="41"/>
  <c r="Q193" i="41" s="1"/>
  <c r="H170" i="3"/>
  <c r="I169" i="3"/>
  <c r="M169" i="3" s="1"/>
  <c r="F170" i="3"/>
  <c r="G170" i="3"/>
  <c r="D169" i="3"/>
  <c r="E170" i="3"/>
  <c r="K197" i="3"/>
  <c r="B194" i="41"/>
  <c r="Y194" i="41" s="1"/>
  <c r="F193" i="41"/>
  <c r="O164" i="3"/>
  <c r="R166" i="19"/>
  <c r="U165" i="19"/>
  <c r="U165" i="3"/>
  <c r="Q167" i="3"/>
  <c r="R166" i="3"/>
  <c r="B195" i="41" l="1"/>
  <c r="Y195" i="41" s="1"/>
  <c r="C194" i="41"/>
  <c r="D194" i="41"/>
  <c r="E182" i="43"/>
  <c r="D182" i="43"/>
  <c r="C185" i="19"/>
  <c r="A185" i="19" s="1"/>
  <c r="D184" i="19"/>
  <c r="L180" i="43"/>
  <c r="K180" i="43" s="1"/>
  <c r="Q181" i="43"/>
  <c r="R181" i="43" s="1"/>
  <c r="J181" i="43" s="1"/>
  <c r="I193" i="41"/>
  <c r="G181" i="43"/>
  <c r="M181" i="43" s="1"/>
  <c r="W181" i="43"/>
  <c r="K185" i="19" s="1"/>
  <c r="E185" i="19"/>
  <c r="A183" i="43"/>
  <c r="C182" i="43"/>
  <c r="W182" i="43"/>
  <c r="K186" i="19" s="1"/>
  <c r="E186" i="19"/>
  <c r="F182" i="43"/>
  <c r="P195" i="41"/>
  <c r="Q195" i="41" s="1"/>
  <c r="F195" i="41"/>
  <c r="E195" i="41"/>
  <c r="B196" i="41"/>
  <c r="Y196" i="41" s="1"/>
  <c r="H193" i="41"/>
  <c r="L193" i="41"/>
  <c r="I192" i="41"/>
  <c r="L192" i="41" s="1"/>
  <c r="G192" i="41"/>
  <c r="K192" i="41"/>
  <c r="I184" i="19"/>
  <c r="M184" i="19" s="1"/>
  <c r="I183" i="19"/>
  <c r="M183" i="19" s="1"/>
  <c r="H55" i="3"/>
  <c r="C198" i="3"/>
  <c r="A197" i="3"/>
  <c r="E194" i="41"/>
  <c r="R194" i="41"/>
  <c r="S194" i="41" s="1"/>
  <c r="H171" i="3"/>
  <c r="I170" i="3"/>
  <c r="M170" i="3" s="1"/>
  <c r="F171" i="3"/>
  <c r="G171" i="3"/>
  <c r="D170" i="3"/>
  <c r="E171" i="3"/>
  <c r="K198" i="3"/>
  <c r="F194" i="41"/>
  <c r="O165" i="3"/>
  <c r="R167" i="19"/>
  <c r="U166" i="19"/>
  <c r="U166" i="3"/>
  <c r="Q168" i="3"/>
  <c r="R167" i="3"/>
  <c r="C196" i="41" l="1"/>
  <c r="D196" i="41"/>
  <c r="C195" i="41"/>
  <c r="D195" i="41"/>
  <c r="E183" i="43"/>
  <c r="D183" i="43"/>
  <c r="J192" i="41"/>
  <c r="D185" i="19"/>
  <c r="C186" i="19"/>
  <c r="A186" i="19" s="1"/>
  <c r="G185" i="19"/>
  <c r="Q182" i="43"/>
  <c r="R182" i="43" s="1"/>
  <c r="S182" i="43"/>
  <c r="T182" i="43" s="1"/>
  <c r="J182" i="43" s="1"/>
  <c r="A184" i="43"/>
  <c r="F183" i="43"/>
  <c r="C183" i="43"/>
  <c r="W183" i="43" s="1"/>
  <c r="K187" i="19" s="1"/>
  <c r="G183" i="43"/>
  <c r="G182" i="43"/>
  <c r="I182" i="43" s="1"/>
  <c r="I181" i="43"/>
  <c r="H195" i="41"/>
  <c r="R195" i="41"/>
  <c r="S195" i="41" s="1"/>
  <c r="I195" i="41" s="1"/>
  <c r="L195" i="41" s="1"/>
  <c r="E196" i="41"/>
  <c r="B197" i="41"/>
  <c r="Y197" i="41" s="1"/>
  <c r="R196" i="41"/>
  <c r="S196" i="41" s="1"/>
  <c r="P194" i="41"/>
  <c r="Q194" i="41" s="1"/>
  <c r="I194" i="41" s="1"/>
  <c r="L194" i="41" s="1"/>
  <c r="H194" i="41"/>
  <c r="G193" i="41"/>
  <c r="K193" i="41"/>
  <c r="J193" i="41" s="1"/>
  <c r="F186" i="19"/>
  <c r="F185" i="19"/>
  <c r="C199" i="3"/>
  <c r="A198" i="3"/>
  <c r="H172" i="3"/>
  <c r="I171" i="3"/>
  <c r="M171" i="3" s="1"/>
  <c r="F172" i="3"/>
  <c r="G172" i="3"/>
  <c r="D171" i="3"/>
  <c r="E172" i="3"/>
  <c r="K199" i="3"/>
  <c r="O166" i="3"/>
  <c r="U167" i="19"/>
  <c r="R168" i="19"/>
  <c r="U167" i="3"/>
  <c r="Q169" i="3"/>
  <c r="R168" i="3"/>
  <c r="C197" i="41" l="1"/>
  <c r="D197" i="41"/>
  <c r="D184" i="43"/>
  <c r="E184" i="43"/>
  <c r="D186" i="19"/>
  <c r="C187" i="19"/>
  <c r="A187" i="19" s="1"/>
  <c r="G187" i="19"/>
  <c r="E187" i="19"/>
  <c r="F196" i="41"/>
  <c r="S183" i="43"/>
  <c r="T183" i="43" s="1"/>
  <c r="Q183" i="43"/>
  <c r="R183" i="43" s="1"/>
  <c r="J183" i="43" s="1"/>
  <c r="I183" i="43"/>
  <c r="M183" i="43"/>
  <c r="G186" i="19"/>
  <c r="M182" i="43"/>
  <c r="L181" i="43"/>
  <c r="K181" i="43" s="1"/>
  <c r="H181" i="43"/>
  <c r="L182" i="43"/>
  <c r="K182" i="43" s="1"/>
  <c r="H182" i="43"/>
  <c r="A185" i="43"/>
  <c r="S184" i="43"/>
  <c r="T184" i="43" s="1"/>
  <c r="F184" i="43"/>
  <c r="G184" i="43"/>
  <c r="C184" i="43"/>
  <c r="H196" i="41"/>
  <c r="P196" i="41"/>
  <c r="Q196" i="41" s="1"/>
  <c r="I196" i="41" s="1"/>
  <c r="L196" i="41" s="1"/>
  <c r="P197" i="41"/>
  <c r="Q197" i="41" s="1"/>
  <c r="F197" i="41"/>
  <c r="B198" i="41"/>
  <c r="Y198" i="41" s="1"/>
  <c r="E197" i="41"/>
  <c r="G195" i="41"/>
  <c r="K195" i="41"/>
  <c r="J195" i="41" s="1"/>
  <c r="G194" i="41"/>
  <c r="K194" i="41"/>
  <c r="J194" i="41" s="1"/>
  <c r="F187" i="19"/>
  <c r="I185" i="19"/>
  <c r="M185" i="19" s="1"/>
  <c r="C200" i="3"/>
  <c r="A199" i="3"/>
  <c r="D187" i="19"/>
  <c r="H173" i="3"/>
  <c r="I172" i="3"/>
  <c r="M172" i="3" s="1"/>
  <c r="F173" i="3"/>
  <c r="G173" i="3"/>
  <c r="D172" i="3"/>
  <c r="E173" i="3"/>
  <c r="K200" i="3"/>
  <c r="O169" i="3"/>
  <c r="O167" i="3"/>
  <c r="U168" i="19"/>
  <c r="R169" i="19"/>
  <c r="Q170" i="3"/>
  <c r="R169" i="3"/>
  <c r="U168" i="3"/>
  <c r="AL27" i="3" l="1"/>
  <c r="D198" i="41"/>
  <c r="C198" i="41"/>
  <c r="AL36" i="3"/>
  <c r="AL18" i="3"/>
  <c r="C188" i="19"/>
  <c r="A188" i="19" s="1"/>
  <c r="E185" i="43"/>
  <c r="D185" i="43"/>
  <c r="E188" i="19"/>
  <c r="Q184" i="43"/>
  <c r="R184" i="43" s="1"/>
  <c r="J184" i="43" s="1"/>
  <c r="M184" i="43" s="1"/>
  <c r="W184" i="43"/>
  <c r="K188" i="19" s="1"/>
  <c r="H197" i="41"/>
  <c r="R197" i="41"/>
  <c r="S197" i="41" s="1"/>
  <c r="I197" i="41" s="1"/>
  <c r="L197" i="41" s="1"/>
  <c r="I184" i="43"/>
  <c r="A186" i="43"/>
  <c r="C185" i="43"/>
  <c r="W185" i="43" s="1"/>
  <c r="Q185" i="43"/>
  <c r="R185" i="43" s="1"/>
  <c r="S185" i="43"/>
  <c r="T185" i="43" s="1"/>
  <c r="L183" i="43"/>
  <c r="K183" i="43" s="1"/>
  <c r="I187" i="19" s="1"/>
  <c r="M187" i="19" s="1"/>
  <c r="H183" i="43"/>
  <c r="G197" i="41"/>
  <c r="K197" i="41"/>
  <c r="J197" i="41" s="1"/>
  <c r="P198" i="41"/>
  <c r="Q198" i="41" s="1"/>
  <c r="B199" i="41"/>
  <c r="Y199" i="41" s="1"/>
  <c r="R198" i="41"/>
  <c r="S198" i="41" s="1"/>
  <c r="G196" i="41"/>
  <c r="K196" i="41"/>
  <c r="J196" i="41" s="1"/>
  <c r="F188" i="19"/>
  <c r="G188" i="19"/>
  <c r="I186" i="19"/>
  <c r="M186" i="19" s="1"/>
  <c r="C201" i="3"/>
  <c r="A200" i="3"/>
  <c r="C189" i="19"/>
  <c r="A189" i="19" s="1"/>
  <c r="H174" i="3"/>
  <c r="I173" i="3"/>
  <c r="M173" i="3" s="1"/>
  <c r="F174" i="3"/>
  <c r="G174" i="3"/>
  <c r="D173" i="3"/>
  <c r="E174" i="3"/>
  <c r="K201" i="3"/>
  <c r="O168" i="3"/>
  <c r="R170" i="19"/>
  <c r="U169" i="19"/>
  <c r="Q171" i="3"/>
  <c r="R170" i="3"/>
  <c r="U169" i="3"/>
  <c r="D188" i="19" l="1"/>
  <c r="C199" i="41"/>
  <c r="D199" i="41"/>
  <c r="E186" i="43"/>
  <c r="D186" i="43"/>
  <c r="F185" i="43"/>
  <c r="J185" i="43"/>
  <c r="G185" i="43"/>
  <c r="E189" i="19"/>
  <c r="H184" i="43"/>
  <c r="L184" i="43"/>
  <c r="K184" i="43" s="1"/>
  <c r="A187" i="43"/>
  <c r="C186" i="43"/>
  <c r="W186" i="43" s="1"/>
  <c r="K190" i="19" s="1"/>
  <c r="F186" i="43"/>
  <c r="E190" i="19"/>
  <c r="I198" i="41"/>
  <c r="F198" i="41"/>
  <c r="F199" i="41"/>
  <c r="E199" i="41"/>
  <c r="B200" i="41"/>
  <c r="Y200" i="41" s="1"/>
  <c r="E198" i="41"/>
  <c r="K189" i="19"/>
  <c r="C202" i="3"/>
  <c r="A201" i="3"/>
  <c r="D189" i="19"/>
  <c r="H175" i="3"/>
  <c r="I174" i="3"/>
  <c r="M174" i="3" s="1"/>
  <c r="F175" i="3"/>
  <c r="G175" i="3"/>
  <c r="D174" i="3"/>
  <c r="E175" i="3"/>
  <c r="K202" i="3"/>
  <c r="O170" i="3"/>
  <c r="R171" i="19"/>
  <c r="U170" i="19"/>
  <c r="U170" i="3"/>
  <c r="Q172" i="3"/>
  <c r="R171" i="3"/>
  <c r="D200" i="41" l="1"/>
  <c r="C200" i="41"/>
  <c r="E187" i="43"/>
  <c r="D187" i="43"/>
  <c r="G186" i="43"/>
  <c r="S186" i="43"/>
  <c r="T186" i="43" s="1"/>
  <c r="C190" i="19"/>
  <c r="A190" i="19" s="1"/>
  <c r="I186" i="43"/>
  <c r="G189" i="19"/>
  <c r="I185" i="43"/>
  <c r="Q186" i="43"/>
  <c r="R186" i="43" s="1"/>
  <c r="A188" i="43"/>
  <c r="Q187" i="43"/>
  <c r="R187" i="43" s="1"/>
  <c r="C187" i="43"/>
  <c r="W187" i="43" s="1"/>
  <c r="S187" i="43"/>
  <c r="T187" i="43" s="1"/>
  <c r="F187" i="43"/>
  <c r="M185" i="43"/>
  <c r="H199" i="41"/>
  <c r="P199" i="41"/>
  <c r="Q199" i="41" s="1"/>
  <c r="R199" i="41"/>
  <c r="S199" i="41" s="1"/>
  <c r="L198" i="41"/>
  <c r="H198" i="41"/>
  <c r="P200" i="41"/>
  <c r="Q200" i="41" s="1"/>
  <c r="B201" i="41"/>
  <c r="Y201" i="41" s="1"/>
  <c r="F200" i="41"/>
  <c r="F190" i="19"/>
  <c r="I188" i="19"/>
  <c r="M188" i="19" s="1"/>
  <c r="G190" i="19"/>
  <c r="F189" i="19"/>
  <c r="C203" i="3"/>
  <c r="A202" i="3"/>
  <c r="H176" i="3"/>
  <c r="I175" i="3"/>
  <c r="M175" i="3" s="1"/>
  <c r="F176" i="3"/>
  <c r="G176" i="3"/>
  <c r="D175" i="3"/>
  <c r="E176" i="3"/>
  <c r="K203" i="3"/>
  <c r="O171" i="3"/>
  <c r="O172" i="3"/>
  <c r="R172" i="19"/>
  <c r="U171" i="19"/>
  <c r="U171" i="3"/>
  <c r="Q173" i="3"/>
  <c r="R172" i="3"/>
  <c r="C201" i="41" l="1"/>
  <c r="D201" i="41"/>
  <c r="D188" i="43"/>
  <c r="E188" i="43"/>
  <c r="D190" i="19"/>
  <c r="J186" i="43"/>
  <c r="M186" i="43" s="1"/>
  <c r="E200" i="41"/>
  <c r="H200" i="41"/>
  <c r="J187" i="43"/>
  <c r="G187" i="43"/>
  <c r="G191" i="19" s="1"/>
  <c r="E191" i="19"/>
  <c r="A189" i="43"/>
  <c r="G188" i="43"/>
  <c r="F188" i="43"/>
  <c r="C188" i="43"/>
  <c r="W188" i="43" s="1"/>
  <c r="K192" i="19" s="1"/>
  <c r="I187" i="43"/>
  <c r="L185" i="43"/>
  <c r="K185" i="43" s="1"/>
  <c r="I189" i="19" s="1"/>
  <c r="M189" i="19" s="1"/>
  <c r="H185" i="43"/>
  <c r="L186" i="43"/>
  <c r="K186" i="43" s="1"/>
  <c r="H186" i="43"/>
  <c r="C191" i="19"/>
  <c r="A191" i="19" s="1"/>
  <c r="G200" i="41"/>
  <c r="K200" i="41"/>
  <c r="R200" i="41"/>
  <c r="S200" i="41" s="1"/>
  <c r="I200" i="41" s="1"/>
  <c r="L200" i="41" s="1"/>
  <c r="K198" i="41"/>
  <c r="J198" i="41" s="1"/>
  <c r="G198" i="41"/>
  <c r="I199" i="41"/>
  <c r="L199" i="41" s="1"/>
  <c r="P201" i="41"/>
  <c r="Q201" i="41" s="1"/>
  <c r="B202" i="41"/>
  <c r="Y202" i="41" s="1"/>
  <c r="R201" i="41"/>
  <c r="S201" i="41" s="1"/>
  <c r="G199" i="41"/>
  <c r="K199" i="41"/>
  <c r="F191" i="19"/>
  <c r="K191" i="19"/>
  <c r="C204" i="3"/>
  <c r="A203" i="3"/>
  <c r="H177" i="3"/>
  <c r="I176" i="3"/>
  <c r="M176" i="3" s="1"/>
  <c r="F177" i="3"/>
  <c r="G177" i="3"/>
  <c r="D176" i="3"/>
  <c r="E177" i="3"/>
  <c r="K204" i="3"/>
  <c r="O173" i="3"/>
  <c r="R173" i="19"/>
  <c r="U172" i="19"/>
  <c r="Q174" i="3"/>
  <c r="R173" i="3"/>
  <c r="U172" i="3"/>
  <c r="C202" i="41" l="1"/>
  <c r="D202" i="41"/>
  <c r="D189" i="43"/>
  <c r="E189" i="43"/>
  <c r="J200" i="41"/>
  <c r="J199" i="41"/>
  <c r="F201" i="41"/>
  <c r="I201" i="41"/>
  <c r="I188" i="43"/>
  <c r="E192" i="19"/>
  <c r="C192" i="19"/>
  <c r="A192" i="19" s="1"/>
  <c r="D191" i="19"/>
  <c r="S188" i="43"/>
  <c r="T188" i="43" s="1"/>
  <c r="Q188" i="43"/>
  <c r="R188" i="43" s="1"/>
  <c r="J188" i="43" s="1"/>
  <c r="M188" i="43" s="1"/>
  <c r="L187" i="43"/>
  <c r="K187" i="43" s="1"/>
  <c r="H187" i="43"/>
  <c r="A190" i="43"/>
  <c r="Q189" i="43"/>
  <c r="R189" i="43" s="1"/>
  <c r="C189" i="43"/>
  <c r="W189" i="43" s="1"/>
  <c r="K193" i="19" s="1"/>
  <c r="E193" i="19"/>
  <c r="M187" i="43"/>
  <c r="E201" i="41"/>
  <c r="B203" i="41"/>
  <c r="Y203" i="41" s="1"/>
  <c r="E202" i="41"/>
  <c r="R202" i="41"/>
  <c r="S202" i="41" s="1"/>
  <c r="I190" i="19"/>
  <c r="M190" i="19" s="1"/>
  <c r="G192" i="19"/>
  <c r="C205" i="3"/>
  <c r="A204" i="3"/>
  <c r="H178" i="3"/>
  <c r="I177" i="3"/>
  <c r="M177" i="3" s="1"/>
  <c r="F178" i="3"/>
  <c r="G178" i="3"/>
  <c r="D177" i="3"/>
  <c r="E178" i="3"/>
  <c r="K205" i="3"/>
  <c r="R174" i="19"/>
  <c r="U173" i="19"/>
  <c r="U173" i="3"/>
  <c r="Q175" i="3"/>
  <c r="R174" i="3"/>
  <c r="D203" i="41" l="1"/>
  <c r="C203" i="41"/>
  <c r="D190" i="43"/>
  <c r="E190" i="43"/>
  <c r="D192" i="19"/>
  <c r="F189" i="43"/>
  <c r="F193" i="19" s="1"/>
  <c r="S189" i="43"/>
  <c r="T189" i="43" s="1"/>
  <c r="J189" i="43" s="1"/>
  <c r="G189" i="43"/>
  <c r="G193" i="19" s="1"/>
  <c r="F202" i="41"/>
  <c r="A191" i="43"/>
  <c r="Q190" i="43"/>
  <c r="R190" i="43" s="1"/>
  <c r="C190" i="43"/>
  <c r="W190" i="43" s="1"/>
  <c r="K194" i="19" s="1"/>
  <c r="G190" i="43"/>
  <c r="H188" i="43"/>
  <c r="L188" i="43"/>
  <c r="K188" i="43" s="1"/>
  <c r="C193" i="19"/>
  <c r="A193" i="19" s="1"/>
  <c r="H202" i="41"/>
  <c r="P202" i="41"/>
  <c r="Q202" i="41" s="1"/>
  <c r="I202" i="41" s="1"/>
  <c r="L202" i="41" s="1"/>
  <c r="B204" i="41"/>
  <c r="Y204" i="41" s="1"/>
  <c r="E203" i="41"/>
  <c r="R203" i="41"/>
  <c r="S203" i="41" s="1"/>
  <c r="L201" i="41"/>
  <c r="H201" i="41"/>
  <c r="I191" i="19"/>
  <c r="M191" i="19" s="1"/>
  <c r="F192" i="19"/>
  <c r="C206" i="3"/>
  <c r="A205" i="3"/>
  <c r="H179" i="3"/>
  <c r="I178" i="3"/>
  <c r="M178" i="3" s="1"/>
  <c r="F179" i="3"/>
  <c r="G179" i="3"/>
  <c r="D178" i="3"/>
  <c r="E179" i="3"/>
  <c r="K206" i="3"/>
  <c r="O174" i="3"/>
  <c r="R175" i="19"/>
  <c r="U174" i="19"/>
  <c r="Q176" i="3"/>
  <c r="R175" i="3"/>
  <c r="U174" i="3"/>
  <c r="D204" i="41" l="1"/>
  <c r="C204" i="41"/>
  <c r="D191" i="43"/>
  <c r="E191" i="43"/>
  <c r="M189" i="43"/>
  <c r="I189" i="43"/>
  <c r="F190" i="43"/>
  <c r="D193" i="19"/>
  <c r="I190" i="43"/>
  <c r="S190" i="43"/>
  <c r="T190" i="43" s="1"/>
  <c r="J190" i="43" s="1"/>
  <c r="M190" i="43" s="1"/>
  <c r="E194" i="19"/>
  <c r="C194" i="19"/>
  <c r="A194" i="19" s="1"/>
  <c r="A192" i="43"/>
  <c r="F191" i="43"/>
  <c r="C191" i="43"/>
  <c r="W191" i="43" s="1"/>
  <c r="S191" i="43"/>
  <c r="T191" i="43" s="1"/>
  <c r="B205" i="41"/>
  <c r="Y205" i="41" s="1"/>
  <c r="F204" i="41"/>
  <c r="P204" i="41"/>
  <c r="Q204" i="41" s="1"/>
  <c r="F203" i="41"/>
  <c r="K202" i="41"/>
  <c r="J202" i="41" s="1"/>
  <c r="G202" i="41"/>
  <c r="P203" i="41"/>
  <c r="Q203" i="41" s="1"/>
  <c r="I203" i="41" s="1"/>
  <c r="G201" i="41"/>
  <c r="K201" i="41"/>
  <c r="J201" i="41" s="1"/>
  <c r="I192" i="19"/>
  <c r="M192" i="19" s="1"/>
  <c r="F194" i="19"/>
  <c r="G194" i="19"/>
  <c r="C207" i="3"/>
  <c r="A206" i="3"/>
  <c r="H180" i="3"/>
  <c r="I179" i="3"/>
  <c r="M179" i="3" s="1"/>
  <c r="F180" i="3"/>
  <c r="G180" i="3"/>
  <c r="D179" i="3"/>
  <c r="E180" i="3"/>
  <c r="K207" i="3"/>
  <c r="O175" i="3"/>
  <c r="R176" i="19"/>
  <c r="U175" i="19"/>
  <c r="U175" i="3"/>
  <c r="Q177" i="3"/>
  <c r="R176" i="3"/>
  <c r="C205" i="41" l="1"/>
  <c r="D205" i="41"/>
  <c r="D192" i="43"/>
  <c r="E192" i="43"/>
  <c r="D194" i="19"/>
  <c r="H189" i="43"/>
  <c r="L189" i="43"/>
  <c r="K189" i="43" s="1"/>
  <c r="R204" i="41"/>
  <c r="S204" i="41" s="1"/>
  <c r="E204" i="41"/>
  <c r="L203" i="41"/>
  <c r="E195" i="19"/>
  <c r="Q191" i="43"/>
  <c r="R191" i="43" s="1"/>
  <c r="J191" i="43" s="1"/>
  <c r="H190" i="43"/>
  <c r="L190" i="43"/>
  <c r="K190" i="43" s="1"/>
  <c r="G191" i="43"/>
  <c r="M191" i="43" s="1"/>
  <c r="C195" i="19"/>
  <c r="A195" i="19" s="1"/>
  <c r="A193" i="43"/>
  <c r="E196" i="19"/>
  <c r="F192" i="43"/>
  <c r="C192" i="43"/>
  <c r="W192" i="43" s="1"/>
  <c r="K196" i="19" s="1"/>
  <c r="I204" i="41"/>
  <c r="L204" i="41" s="1"/>
  <c r="H204" i="41"/>
  <c r="H203" i="41"/>
  <c r="B206" i="41"/>
  <c r="Y206" i="41" s="1"/>
  <c r="E205" i="41"/>
  <c r="F205" i="41"/>
  <c r="K195" i="19"/>
  <c r="I193" i="19"/>
  <c r="M193" i="19" s="1"/>
  <c r="C208" i="3"/>
  <c r="A207" i="3"/>
  <c r="H181" i="3"/>
  <c r="I180" i="3"/>
  <c r="M180" i="3" s="1"/>
  <c r="F181" i="3"/>
  <c r="G181" i="3"/>
  <c r="D180" i="3"/>
  <c r="E181" i="3"/>
  <c r="K208" i="3"/>
  <c r="O176" i="3"/>
  <c r="R177" i="19"/>
  <c r="U176" i="19"/>
  <c r="U176" i="3"/>
  <c r="Q178" i="3"/>
  <c r="R177" i="3"/>
  <c r="C206" i="41" l="1"/>
  <c r="D206" i="41"/>
  <c r="D193" i="43"/>
  <c r="E193" i="43"/>
  <c r="G195" i="19"/>
  <c r="R205" i="41"/>
  <c r="S205" i="41" s="1"/>
  <c r="Q192" i="43"/>
  <c r="R192" i="43" s="1"/>
  <c r="A194" i="43"/>
  <c r="C193" i="43"/>
  <c r="W193" i="43" s="1"/>
  <c r="K197" i="19" s="1"/>
  <c r="Q193" i="43"/>
  <c r="R193" i="43" s="1"/>
  <c r="S193" i="43"/>
  <c r="T193" i="43" s="1"/>
  <c r="S192" i="43"/>
  <c r="T192" i="43" s="1"/>
  <c r="G192" i="43"/>
  <c r="I192" i="43" s="1"/>
  <c r="C196" i="19"/>
  <c r="A196" i="19" s="1"/>
  <c r="I191" i="43"/>
  <c r="D195" i="19"/>
  <c r="H205" i="41"/>
  <c r="P205" i="41"/>
  <c r="Q205" i="41" s="1"/>
  <c r="I205" i="41" s="1"/>
  <c r="L205" i="41" s="1"/>
  <c r="R206" i="41"/>
  <c r="S206" i="41" s="1"/>
  <c r="E206" i="41"/>
  <c r="P206" i="41"/>
  <c r="Q206" i="41" s="1"/>
  <c r="I206" i="41" s="1"/>
  <c r="F206" i="41"/>
  <c r="B207" i="41"/>
  <c r="Y207" i="41" s="1"/>
  <c r="G203" i="41"/>
  <c r="K203" i="41"/>
  <c r="J203" i="41" s="1"/>
  <c r="G204" i="41"/>
  <c r="K204" i="41"/>
  <c r="J204" i="41" s="1"/>
  <c r="F196" i="19"/>
  <c r="I194" i="19"/>
  <c r="M194" i="19" s="1"/>
  <c r="F195" i="19"/>
  <c r="C209" i="3"/>
  <c r="A208" i="3"/>
  <c r="H182" i="3"/>
  <c r="I181" i="3"/>
  <c r="M181" i="3" s="1"/>
  <c r="F182" i="3"/>
  <c r="G182" i="3"/>
  <c r="D181" i="3"/>
  <c r="E182" i="3"/>
  <c r="K209" i="3"/>
  <c r="O177" i="3"/>
  <c r="R178" i="19"/>
  <c r="U177" i="19"/>
  <c r="U177" i="3"/>
  <c r="Q179" i="3"/>
  <c r="R178" i="3"/>
  <c r="D207" i="41" l="1"/>
  <c r="C207" i="41"/>
  <c r="E194" i="43"/>
  <c r="D194" i="43"/>
  <c r="E197" i="19"/>
  <c r="F193" i="43"/>
  <c r="J193" i="43"/>
  <c r="G193" i="43"/>
  <c r="I193" i="43" s="1"/>
  <c r="C197" i="19"/>
  <c r="A197" i="19" s="1"/>
  <c r="D196" i="19"/>
  <c r="L192" i="43"/>
  <c r="K192" i="43" s="1"/>
  <c r="H192" i="43"/>
  <c r="M193" i="43"/>
  <c r="J192" i="43"/>
  <c r="M192" i="43" s="1"/>
  <c r="G196" i="19"/>
  <c r="H191" i="43"/>
  <c r="L191" i="43"/>
  <c r="K191" i="43" s="1"/>
  <c r="I195" i="19" s="1"/>
  <c r="M195" i="19" s="1"/>
  <c r="A195" i="43"/>
  <c r="S194" i="43"/>
  <c r="T194" i="43" s="1"/>
  <c r="C194" i="43"/>
  <c r="F194" i="43"/>
  <c r="L206" i="41"/>
  <c r="H206" i="41"/>
  <c r="F207" i="41"/>
  <c r="E207" i="41"/>
  <c r="B208" i="41"/>
  <c r="Y208" i="41" s="1"/>
  <c r="K205" i="41"/>
  <c r="J205" i="41" s="1"/>
  <c r="G205" i="41"/>
  <c r="F197" i="19"/>
  <c r="G197" i="19"/>
  <c r="C210" i="3"/>
  <c r="A209" i="3"/>
  <c r="H183" i="3"/>
  <c r="I182" i="3"/>
  <c r="M182" i="3" s="1"/>
  <c r="F183" i="3"/>
  <c r="G183" i="3"/>
  <c r="D182" i="3"/>
  <c r="E183" i="3"/>
  <c r="K210" i="3"/>
  <c r="O178" i="3"/>
  <c r="R179" i="19"/>
  <c r="U178" i="19"/>
  <c r="U178" i="3"/>
  <c r="Q180" i="3"/>
  <c r="R179" i="3"/>
  <c r="C208" i="41" l="1"/>
  <c r="D208" i="41"/>
  <c r="E195" i="43"/>
  <c r="D195" i="43"/>
  <c r="C198" i="19"/>
  <c r="A198" i="19" s="1"/>
  <c r="D197" i="19"/>
  <c r="H193" i="43"/>
  <c r="L193" i="43"/>
  <c r="K193" i="43" s="1"/>
  <c r="P207" i="41"/>
  <c r="Q207" i="41" s="1"/>
  <c r="R207" i="41"/>
  <c r="S207" i="41" s="1"/>
  <c r="I207" i="41" s="1"/>
  <c r="L207" i="41" s="1"/>
  <c r="E198" i="19"/>
  <c r="W194" i="43"/>
  <c r="K198" i="19" s="1"/>
  <c r="A196" i="43"/>
  <c r="C195" i="43"/>
  <c r="E199" i="19"/>
  <c r="Q195" i="43"/>
  <c r="R195" i="43" s="1"/>
  <c r="Q194" i="43"/>
  <c r="R194" i="43" s="1"/>
  <c r="J194" i="43" s="1"/>
  <c r="G194" i="43"/>
  <c r="G198" i="19" s="1"/>
  <c r="H207" i="41"/>
  <c r="P208" i="41"/>
  <c r="Q208" i="41" s="1"/>
  <c r="B209" i="41"/>
  <c r="Y209" i="41" s="1"/>
  <c r="R208" i="41"/>
  <c r="S208" i="41" s="1"/>
  <c r="K206" i="41"/>
  <c r="J206" i="41" s="1"/>
  <c r="G206" i="41"/>
  <c r="I196" i="19"/>
  <c r="M196" i="19" s="1"/>
  <c r="C211" i="3"/>
  <c r="A210" i="3"/>
  <c r="H184" i="3"/>
  <c r="I183" i="3"/>
  <c r="M183" i="3" s="1"/>
  <c r="F184" i="3"/>
  <c r="G184" i="3"/>
  <c r="D183" i="3"/>
  <c r="E184" i="3"/>
  <c r="K211" i="3"/>
  <c r="O179" i="3"/>
  <c r="U179" i="19"/>
  <c r="R180" i="19"/>
  <c r="U179" i="3"/>
  <c r="Q181" i="3"/>
  <c r="R180" i="3"/>
  <c r="D198" i="19" l="1"/>
  <c r="C209" i="41"/>
  <c r="D209" i="41"/>
  <c r="E196" i="43"/>
  <c r="D196" i="43"/>
  <c r="C199" i="19"/>
  <c r="A199" i="19" s="1"/>
  <c r="F195" i="43"/>
  <c r="S195" i="43"/>
  <c r="T195" i="43" s="1"/>
  <c r="J195" i="43" s="1"/>
  <c r="F208" i="41"/>
  <c r="A197" i="43"/>
  <c r="S196" i="43"/>
  <c r="T196" i="43" s="1"/>
  <c r="C196" i="43"/>
  <c r="C200" i="19" s="1"/>
  <c r="F196" i="43"/>
  <c r="W195" i="43"/>
  <c r="K199" i="19" s="1"/>
  <c r="M194" i="43"/>
  <c r="G195" i="43"/>
  <c r="G199" i="19" s="1"/>
  <c r="I194" i="43"/>
  <c r="I208" i="41"/>
  <c r="E208" i="41"/>
  <c r="R209" i="41"/>
  <c r="S209" i="41" s="1"/>
  <c r="P209" i="41"/>
  <c r="Q209" i="41" s="1"/>
  <c r="B210" i="41"/>
  <c r="Y210" i="41" s="1"/>
  <c r="K207" i="41"/>
  <c r="J207" i="41" s="1"/>
  <c r="G207" i="41"/>
  <c r="I197" i="19"/>
  <c r="M197" i="19" s="1"/>
  <c r="F198" i="19"/>
  <c r="C212" i="3"/>
  <c r="A211" i="3"/>
  <c r="D199" i="19"/>
  <c r="H185" i="3"/>
  <c r="I184" i="3"/>
  <c r="M184" i="3" s="1"/>
  <c r="F185" i="3"/>
  <c r="G185" i="3"/>
  <c r="D184" i="3"/>
  <c r="E185" i="3"/>
  <c r="K212" i="3"/>
  <c r="O180" i="3"/>
  <c r="R181" i="19"/>
  <c r="U180" i="19"/>
  <c r="U180" i="3"/>
  <c r="Q182" i="3"/>
  <c r="R181" i="3"/>
  <c r="C210" i="41" l="1"/>
  <c r="D210" i="41"/>
  <c r="E197" i="43"/>
  <c r="D197" i="43"/>
  <c r="A200" i="19"/>
  <c r="R200" i="19"/>
  <c r="U200" i="19" s="1"/>
  <c r="Q196" i="43"/>
  <c r="R196" i="43" s="1"/>
  <c r="I209" i="41"/>
  <c r="F209" i="41"/>
  <c r="J196" i="43"/>
  <c r="H194" i="43"/>
  <c r="L194" i="43"/>
  <c r="K194" i="43" s="1"/>
  <c r="I198" i="19" s="1"/>
  <c r="M198" i="19" s="1"/>
  <c r="I195" i="43"/>
  <c r="A198" i="43"/>
  <c r="G197" i="43"/>
  <c r="G201" i="19" s="1"/>
  <c r="C197" i="43"/>
  <c r="W197" i="43" s="1"/>
  <c r="K201" i="19" s="1"/>
  <c r="Q197" i="43"/>
  <c r="R197" i="43" s="1"/>
  <c r="W196" i="43"/>
  <c r="K200" i="19" s="1"/>
  <c r="AL36" i="19" s="1"/>
  <c r="M195" i="43"/>
  <c r="G196" i="43"/>
  <c r="E200" i="19"/>
  <c r="H208" i="41"/>
  <c r="L208" i="41"/>
  <c r="P210" i="41"/>
  <c r="Q210" i="41" s="1"/>
  <c r="R210" i="41"/>
  <c r="S210" i="41" s="1"/>
  <c r="B211" i="41"/>
  <c r="Y211" i="41" s="1"/>
  <c r="E209" i="41"/>
  <c r="F200" i="19"/>
  <c r="F199" i="19"/>
  <c r="C213" i="3"/>
  <c r="A212" i="3"/>
  <c r="D200" i="19"/>
  <c r="H186" i="3"/>
  <c r="I185" i="3"/>
  <c r="M185" i="3" s="1"/>
  <c r="F186" i="3"/>
  <c r="G186" i="3"/>
  <c r="D185" i="3"/>
  <c r="E186" i="3"/>
  <c r="K213" i="3"/>
  <c r="O181" i="3"/>
  <c r="R182" i="19"/>
  <c r="U181" i="19"/>
  <c r="U181" i="3"/>
  <c r="Q183" i="3"/>
  <c r="R182" i="3"/>
  <c r="AL27" i="19" l="1"/>
  <c r="AL18" i="19"/>
  <c r="D211" i="41"/>
  <c r="C211" i="41"/>
  <c r="E198" i="43"/>
  <c r="D198" i="43"/>
  <c r="C201" i="19"/>
  <c r="D201" i="19" s="1"/>
  <c r="F197" i="43"/>
  <c r="I197" i="43" s="1"/>
  <c r="L197" i="43" s="1"/>
  <c r="K197" i="43" s="1"/>
  <c r="F210" i="41"/>
  <c r="E201" i="19"/>
  <c r="S197" i="43"/>
  <c r="T197" i="43" s="1"/>
  <c r="J197" i="43" s="1"/>
  <c r="G200" i="19"/>
  <c r="M196" i="43"/>
  <c r="A199" i="43"/>
  <c r="E202" i="19"/>
  <c r="C198" i="43"/>
  <c r="F198" i="43"/>
  <c r="F202" i="19" s="1"/>
  <c r="L195" i="43"/>
  <c r="K195" i="43" s="1"/>
  <c r="I199" i="19" s="1"/>
  <c r="M199" i="19" s="1"/>
  <c r="H195" i="43"/>
  <c r="I196" i="43"/>
  <c r="I210" i="41"/>
  <c r="P211" i="41"/>
  <c r="Q211" i="41" s="1"/>
  <c r="B212" i="41"/>
  <c r="Y212" i="41" s="1"/>
  <c r="F211" i="41"/>
  <c r="E210" i="41"/>
  <c r="L209" i="41"/>
  <c r="H209" i="41"/>
  <c r="G208" i="41"/>
  <c r="K208" i="41"/>
  <c r="J208" i="41" s="1"/>
  <c r="C214" i="3"/>
  <c r="A213" i="3"/>
  <c r="H187" i="3"/>
  <c r="I186" i="3"/>
  <c r="M186" i="3" s="1"/>
  <c r="F187" i="3"/>
  <c r="G187" i="3"/>
  <c r="D186" i="3"/>
  <c r="E187" i="3"/>
  <c r="K214" i="3"/>
  <c r="O183" i="3"/>
  <c r="O182" i="3"/>
  <c r="R183" i="19"/>
  <c r="U182" i="19"/>
  <c r="U182" i="3"/>
  <c r="Q184" i="3"/>
  <c r="R183" i="3"/>
  <c r="C212" i="41" l="1"/>
  <c r="D212" i="41"/>
  <c r="D199" i="43"/>
  <c r="E199" i="43"/>
  <c r="A201" i="19"/>
  <c r="R201" i="19"/>
  <c r="U201" i="19" s="1"/>
  <c r="E211" i="41"/>
  <c r="M197" i="43"/>
  <c r="H197" i="43"/>
  <c r="C202" i="19"/>
  <c r="F201" i="19"/>
  <c r="Q198" i="43"/>
  <c r="R198" i="43" s="1"/>
  <c r="W198" i="43"/>
  <c r="K202" i="19" s="1"/>
  <c r="G198" i="43"/>
  <c r="S198" i="43"/>
  <c r="T198" i="43" s="1"/>
  <c r="G202" i="19"/>
  <c r="R211" i="41"/>
  <c r="S211" i="41" s="1"/>
  <c r="I198" i="43"/>
  <c r="H196" i="43"/>
  <c r="L196" i="43"/>
  <c r="K196" i="43" s="1"/>
  <c r="I200" i="19" s="1"/>
  <c r="A200" i="43"/>
  <c r="S199" i="43"/>
  <c r="T199" i="43" s="1"/>
  <c r="C199" i="43"/>
  <c r="W199" i="43" s="1"/>
  <c r="K203" i="19" s="1"/>
  <c r="Q199" i="43"/>
  <c r="R199" i="43" s="1"/>
  <c r="H211" i="41"/>
  <c r="I211" i="41"/>
  <c r="L211" i="41" s="1"/>
  <c r="E212" i="41"/>
  <c r="B213" i="41"/>
  <c r="Y213" i="41" s="1"/>
  <c r="F212" i="41"/>
  <c r="G209" i="41"/>
  <c r="K209" i="41"/>
  <c r="J209" i="41" s="1"/>
  <c r="L210" i="41"/>
  <c r="H210" i="41"/>
  <c r="C215" i="3"/>
  <c r="A214" i="3"/>
  <c r="H188" i="3"/>
  <c r="I187" i="3"/>
  <c r="M187" i="3" s="1"/>
  <c r="F188" i="3"/>
  <c r="G188" i="3"/>
  <c r="D187" i="3"/>
  <c r="E188" i="3"/>
  <c r="K215" i="3"/>
  <c r="O184" i="3"/>
  <c r="R184" i="19"/>
  <c r="U183" i="19"/>
  <c r="U183" i="3"/>
  <c r="Q185" i="3"/>
  <c r="R184" i="3"/>
  <c r="M200" i="19" l="1"/>
  <c r="AK18" i="19"/>
  <c r="AK36" i="19"/>
  <c r="AK27" i="19"/>
  <c r="C213" i="41"/>
  <c r="D213" i="41"/>
  <c r="E200" i="43"/>
  <c r="D200" i="43"/>
  <c r="A202" i="19"/>
  <c r="R202" i="19"/>
  <c r="D202" i="19"/>
  <c r="J198" i="43"/>
  <c r="M198" i="43" s="1"/>
  <c r="G199" i="43"/>
  <c r="G203" i="19" s="1"/>
  <c r="C203" i="19"/>
  <c r="J199" i="43"/>
  <c r="P212" i="41"/>
  <c r="Q212" i="41" s="1"/>
  <c r="E203" i="19"/>
  <c r="F199" i="43"/>
  <c r="F203" i="19" s="1"/>
  <c r="A201" i="43"/>
  <c r="Q200" i="43"/>
  <c r="R200" i="43" s="1"/>
  <c r="C200" i="43"/>
  <c r="W200" i="43" s="1"/>
  <c r="K204" i="19" s="1"/>
  <c r="S200" i="43"/>
  <c r="T200" i="43" s="1"/>
  <c r="F200" i="43"/>
  <c r="H198" i="43"/>
  <c r="L198" i="43"/>
  <c r="K198" i="43" s="1"/>
  <c r="I202" i="19" s="1"/>
  <c r="M202" i="19" s="1"/>
  <c r="H212" i="41"/>
  <c r="R213" i="41"/>
  <c r="S213" i="41" s="1"/>
  <c r="P213" i="41"/>
  <c r="Q213" i="41" s="1"/>
  <c r="B214" i="41"/>
  <c r="Y214" i="41" s="1"/>
  <c r="K210" i="41"/>
  <c r="J210" i="41" s="1"/>
  <c r="G210" i="41"/>
  <c r="R212" i="41"/>
  <c r="S212" i="41" s="1"/>
  <c r="K211" i="41"/>
  <c r="J211" i="41" s="1"/>
  <c r="G211" i="41"/>
  <c r="I201" i="19"/>
  <c r="M201" i="19" s="1"/>
  <c r="C216" i="3"/>
  <c r="A215" i="3"/>
  <c r="H189" i="3"/>
  <c r="I188" i="3"/>
  <c r="M188" i="3" s="1"/>
  <c r="F189" i="3"/>
  <c r="G189" i="3"/>
  <c r="D188" i="3"/>
  <c r="E189" i="3"/>
  <c r="K216" i="3"/>
  <c r="O185" i="3"/>
  <c r="R185" i="19"/>
  <c r="U184" i="19"/>
  <c r="U184" i="3"/>
  <c r="Q186" i="3"/>
  <c r="R185" i="3"/>
  <c r="O200" i="19" l="1"/>
  <c r="C214" i="41"/>
  <c r="D214" i="41"/>
  <c r="O201" i="19"/>
  <c r="S200" i="19" s="1"/>
  <c r="E201" i="43"/>
  <c r="D201" i="43"/>
  <c r="A203" i="19"/>
  <c r="R203" i="19"/>
  <c r="U202" i="19"/>
  <c r="S202" i="19"/>
  <c r="I212" i="41"/>
  <c r="L212" i="41" s="1"/>
  <c r="E213" i="41"/>
  <c r="L213" i="41" s="1"/>
  <c r="D203" i="19"/>
  <c r="F204" i="19"/>
  <c r="C204" i="19"/>
  <c r="F213" i="41"/>
  <c r="H213" i="41"/>
  <c r="K213" i="41" s="1"/>
  <c r="J213" i="41" s="1"/>
  <c r="I213" i="41"/>
  <c r="G200" i="43"/>
  <c r="G204" i="19" s="1"/>
  <c r="E204" i="19"/>
  <c r="J200" i="43"/>
  <c r="M200" i="43"/>
  <c r="A202" i="43"/>
  <c r="C201" i="43"/>
  <c r="S201" i="43"/>
  <c r="T201" i="43" s="1"/>
  <c r="W201" i="43"/>
  <c r="K205" i="19" s="1"/>
  <c r="Q201" i="43"/>
  <c r="R201" i="43" s="1"/>
  <c r="J201" i="43" s="1"/>
  <c r="G201" i="43"/>
  <c r="G205" i="19" s="1"/>
  <c r="M199" i="43"/>
  <c r="I199" i="43"/>
  <c r="B215" i="41"/>
  <c r="Y215" i="41" s="1"/>
  <c r="R214" i="41"/>
  <c r="S214" i="41" s="1"/>
  <c r="P214" i="41"/>
  <c r="Q214" i="41" s="1"/>
  <c r="G212" i="41"/>
  <c r="K212" i="41"/>
  <c r="J212" i="41" s="1"/>
  <c r="C217" i="3"/>
  <c r="A216" i="3"/>
  <c r="H190" i="3"/>
  <c r="I189" i="3"/>
  <c r="M189" i="3" s="1"/>
  <c r="F190" i="3"/>
  <c r="G190" i="3"/>
  <c r="D189" i="3"/>
  <c r="E190" i="3"/>
  <c r="K217" i="3"/>
  <c r="O186" i="3"/>
  <c r="U185" i="19"/>
  <c r="R186" i="19"/>
  <c r="U185" i="3"/>
  <c r="Q187" i="3"/>
  <c r="R186" i="3"/>
  <c r="C215" i="41" l="1"/>
  <c r="D215" i="41"/>
  <c r="E202" i="43"/>
  <c r="D202" i="43"/>
  <c r="S203" i="19"/>
  <c r="U203" i="19"/>
  <c r="A204" i="19"/>
  <c r="R204" i="19"/>
  <c r="D204" i="19"/>
  <c r="C205" i="19"/>
  <c r="R205" i="19" s="1"/>
  <c r="F201" i="43"/>
  <c r="M201" i="43" s="1"/>
  <c r="F205" i="19"/>
  <c r="I200" i="43"/>
  <c r="G213" i="41"/>
  <c r="E214" i="41"/>
  <c r="I214" i="41"/>
  <c r="E205" i="19"/>
  <c r="I201" i="43"/>
  <c r="A203" i="43"/>
  <c r="C202" i="43"/>
  <c r="F202" i="43"/>
  <c r="F206" i="19" s="1"/>
  <c r="Q202" i="43"/>
  <c r="W202" i="43"/>
  <c r="K206" i="19" s="1"/>
  <c r="G202" i="43"/>
  <c r="G206" i="19" s="1"/>
  <c r="R202" i="43"/>
  <c r="L199" i="43"/>
  <c r="K199" i="43" s="1"/>
  <c r="I203" i="19" s="1"/>
  <c r="M203" i="19" s="1"/>
  <c r="O202" i="19" s="1"/>
  <c r="S201" i="19" s="1"/>
  <c r="H199" i="43"/>
  <c r="B216" i="41"/>
  <c r="Y216" i="41" s="1"/>
  <c r="R215" i="41"/>
  <c r="S215" i="41" s="1"/>
  <c r="P215" i="41"/>
  <c r="Q215" i="41" s="1"/>
  <c r="I215" i="41" s="1"/>
  <c r="F214" i="41"/>
  <c r="C218" i="3"/>
  <c r="A217" i="3"/>
  <c r="H191" i="3"/>
  <c r="I190" i="3"/>
  <c r="M190" i="3" s="1"/>
  <c r="F191" i="3"/>
  <c r="G191" i="3"/>
  <c r="D190" i="3"/>
  <c r="E191" i="3"/>
  <c r="K218" i="3"/>
  <c r="R187" i="19"/>
  <c r="U186" i="19"/>
  <c r="O187" i="3"/>
  <c r="U186" i="3"/>
  <c r="Q188" i="3"/>
  <c r="R187" i="3"/>
  <c r="D205" i="19" l="1"/>
  <c r="C206" i="19"/>
  <c r="R206" i="19" s="1"/>
  <c r="C216" i="41"/>
  <c r="D216" i="41"/>
  <c r="E203" i="43"/>
  <c r="D203" i="43"/>
  <c r="A205" i="19"/>
  <c r="S204" i="19"/>
  <c r="U204" i="19"/>
  <c r="S205" i="19"/>
  <c r="U205" i="19"/>
  <c r="U206" i="19"/>
  <c r="S206" i="19"/>
  <c r="H200" i="43"/>
  <c r="L200" i="43"/>
  <c r="K200" i="43" s="1"/>
  <c r="I204" i="19" s="1"/>
  <c r="M204" i="19" s="1"/>
  <c r="O203" i="19" s="1"/>
  <c r="F215" i="41"/>
  <c r="L214" i="41"/>
  <c r="E206" i="19"/>
  <c r="A206" i="19"/>
  <c r="D206" i="19"/>
  <c r="I202" i="43"/>
  <c r="S202" i="43"/>
  <c r="T202" i="43" s="1"/>
  <c r="J202" i="43" s="1"/>
  <c r="M202" i="43" s="1"/>
  <c r="A204" i="43"/>
  <c r="C203" i="43"/>
  <c r="C207" i="19" s="1"/>
  <c r="R207" i="19" s="1"/>
  <c r="F203" i="43"/>
  <c r="F207" i="19" s="1"/>
  <c r="G203" i="43"/>
  <c r="G207" i="19" s="1"/>
  <c r="L201" i="43"/>
  <c r="K201" i="43" s="1"/>
  <c r="I205" i="19" s="1"/>
  <c r="M205" i="19" s="1"/>
  <c r="H201" i="43"/>
  <c r="R216" i="41"/>
  <c r="S216" i="41" s="1"/>
  <c r="P216" i="41"/>
  <c r="Q216" i="41" s="1"/>
  <c r="B217" i="41"/>
  <c r="Y217" i="41" s="1"/>
  <c r="E215" i="41"/>
  <c r="H214" i="41"/>
  <c r="C219" i="3"/>
  <c r="A218" i="3"/>
  <c r="H192" i="3"/>
  <c r="I191" i="3"/>
  <c r="M191" i="3" s="1"/>
  <c r="F192" i="3"/>
  <c r="G192" i="3"/>
  <c r="D191" i="3"/>
  <c r="E192" i="3"/>
  <c r="K219" i="3"/>
  <c r="O188" i="3"/>
  <c r="R188" i="19"/>
  <c r="U187" i="19"/>
  <c r="U187" i="3"/>
  <c r="Q189" i="3"/>
  <c r="R188" i="3"/>
  <c r="C217" i="41" l="1"/>
  <c r="D217" i="41"/>
  <c r="D204" i="43"/>
  <c r="E204" i="43"/>
  <c r="O204" i="19"/>
  <c r="S207" i="19"/>
  <c r="U207" i="19"/>
  <c r="W203" i="43"/>
  <c r="K207" i="19" s="1"/>
  <c r="S203" i="43"/>
  <c r="T203" i="43" s="1"/>
  <c r="Q203" i="43"/>
  <c r="R203" i="43" s="1"/>
  <c r="J203" i="43" s="1"/>
  <c r="M203" i="43" s="1"/>
  <c r="I216" i="41"/>
  <c r="A207" i="19"/>
  <c r="D207" i="19"/>
  <c r="E207" i="19"/>
  <c r="I203" i="43"/>
  <c r="A205" i="43"/>
  <c r="E208" i="19"/>
  <c r="C204" i="43"/>
  <c r="C208" i="19" s="1"/>
  <c r="R208" i="19" s="1"/>
  <c r="Q204" i="43"/>
  <c r="R204" i="43" s="1"/>
  <c r="J204" i="43" s="1"/>
  <c r="S204" i="43"/>
  <c r="T204" i="43" s="1"/>
  <c r="H202" i="43"/>
  <c r="L202" i="43"/>
  <c r="K202" i="43" s="1"/>
  <c r="I206" i="19" s="1"/>
  <c r="M206" i="19" s="1"/>
  <c r="O205" i="19" s="1"/>
  <c r="F216" i="41"/>
  <c r="G214" i="41"/>
  <c r="K214" i="41"/>
  <c r="J214" i="41" s="1"/>
  <c r="E216" i="41"/>
  <c r="H215" i="41"/>
  <c r="L215" i="41"/>
  <c r="B218" i="41"/>
  <c r="Y218" i="41" s="1"/>
  <c r="P217" i="41"/>
  <c r="Q217" i="41" s="1"/>
  <c r="F217" i="41"/>
  <c r="C220" i="3"/>
  <c r="A219" i="3"/>
  <c r="H193" i="3"/>
  <c r="I192" i="3"/>
  <c r="M192" i="3" s="1"/>
  <c r="F193" i="3"/>
  <c r="G193" i="3"/>
  <c r="D192" i="3"/>
  <c r="E193" i="3"/>
  <c r="K220" i="3"/>
  <c r="O189" i="3"/>
  <c r="U188" i="19"/>
  <c r="R189" i="19"/>
  <c r="Q190" i="3"/>
  <c r="R189" i="3"/>
  <c r="U188" i="3"/>
  <c r="C218" i="41" l="1"/>
  <c r="D218" i="41"/>
  <c r="D205" i="43"/>
  <c r="E205" i="43"/>
  <c r="S208" i="19"/>
  <c r="U208" i="19"/>
  <c r="W204" i="43"/>
  <c r="K208" i="19" s="1"/>
  <c r="G204" i="43"/>
  <c r="G208" i="19" s="1"/>
  <c r="E217" i="41"/>
  <c r="H217" i="41" s="1"/>
  <c r="G217" i="41" s="1"/>
  <c r="R217" i="41"/>
  <c r="S217" i="41" s="1"/>
  <c r="I217" i="41" s="1"/>
  <c r="A208" i="19"/>
  <c r="D208" i="19"/>
  <c r="F204" i="43"/>
  <c r="F208" i="19" s="1"/>
  <c r="A206" i="43"/>
  <c r="Q205" i="43"/>
  <c r="R205" i="43" s="1"/>
  <c r="C205" i="43"/>
  <c r="W205" i="43" s="1"/>
  <c r="K209" i="19" s="1"/>
  <c r="G205" i="43"/>
  <c r="G209" i="19" s="1"/>
  <c r="L203" i="43"/>
  <c r="K203" i="43" s="1"/>
  <c r="I207" i="19" s="1"/>
  <c r="M207" i="19" s="1"/>
  <c r="O206" i="19" s="1"/>
  <c r="H203" i="43"/>
  <c r="P218" i="41"/>
  <c r="Q218" i="41" s="1"/>
  <c r="F218" i="41"/>
  <c r="B219" i="41"/>
  <c r="Y219" i="41" s="1"/>
  <c r="H216" i="41"/>
  <c r="L216" i="41"/>
  <c r="K215" i="41"/>
  <c r="J215" i="41" s="1"/>
  <c r="G215" i="41"/>
  <c r="C221" i="3"/>
  <c r="A220" i="3"/>
  <c r="H194" i="3"/>
  <c r="I193" i="3"/>
  <c r="M193" i="3" s="1"/>
  <c r="F194" i="3"/>
  <c r="G194" i="3"/>
  <c r="D193" i="3"/>
  <c r="E194" i="3"/>
  <c r="K221" i="3"/>
  <c r="O190" i="3"/>
  <c r="R190" i="19"/>
  <c r="U189" i="19"/>
  <c r="U189" i="3"/>
  <c r="Q191" i="3"/>
  <c r="R190" i="3"/>
  <c r="C219" i="41" l="1"/>
  <c r="D219" i="41"/>
  <c r="E206" i="43"/>
  <c r="D206" i="43"/>
  <c r="L217" i="41"/>
  <c r="C209" i="19"/>
  <c r="S205" i="43"/>
  <c r="T205" i="43" s="1"/>
  <c r="J205" i="43" s="1"/>
  <c r="M205" i="43" s="1"/>
  <c r="F205" i="43"/>
  <c r="E218" i="41"/>
  <c r="K217" i="41"/>
  <c r="J217" i="41" s="1"/>
  <c r="R218" i="41"/>
  <c r="S218" i="41" s="1"/>
  <c r="I218" i="41" s="1"/>
  <c r="L218" i="41" s="1"/>
  <c r="H218" i="41"/>
  <c r="K218" i="41" s="1"/>
  <c r="J218" i="41" s="1"/>
  <c r="E209" i="19"/>
  <c r="A207" i="43"/>
  <c r="F206" i="43"/>
  <c r="F210" i="19" s="1"/>
  <c r="E210" i="19"/>
  <c r="C206" i="43"/>
  <c r="W206" i="43" s="1"/>
  <c r="K210" i="19" s="1"/>
  <c r="M204" i="43"/>
  <c r="I204" i="43"/>
  <c r="R219" i="41"/>
  <c r="S219" i="41" s="1"/>
  <c r="P219" i="41"/>
  <c r="Q219" i="41" s="1"/>
  <c r="I219" i="41" s="1"/>
  <c r="B220" i="41"/>
  <c r="Y220" i="41" s="1"/>
  <c r="G216" i="41"/>
  <c r="K216" i="41"/>
  <c r="J216" i="41" s="1"/>
  <c r="C222" i="3"/>
  <c r="A221" i="3"/>
  <c r="H195" i="3"/>
  <c r="I194" i="3"/>
  <c r="M194" i="3" s="1"/>
  <c r="F195" i="3"/>
  <c r="G195" i="3"/>
  <c r="D194" i="3"/>
  <c r="E195" i="3"/>
  <c r="K222" i="3"/>
  <c r="O191" i="3"/>
  <c r="U190" i="19"/>
  <c r="R191" i="19"/>
  <c r="U190" i="3"/>
  <c r="Q192" i="3"/>
  <c r="R191" i="3"/>
  <c r="D220" i="41" l="1"/>
  <c r="C220" i="41"/>
  <c r="D207" i="43"/>
  <c r="E207" i="43"/>
  <c r="A209" i="19"/>
  <c r="R209" i="19"/>
  <c r="D209" i="19"/>
  <c r="C210" i="19"/>
  <c r="R210" i="19" s="1"/>
  <c r="I205" i="43"/>
  <c r="F209" i="19"/>
  <c r="Q206" i="43"/>
  <c r="R206" i="43" s="1"/>
  <c r="S206" i="43"/>
  <c r="T206" i="43" s="1"/>
  <c r="G206" i="43"/>
  <c r="G210" i="19" s="1"/>
  <c r="G218" i="41"/>
  <c r="E219" i="41"/>
  <c r="J206" i="43"/>
  <c r="M206" i="43" s="1"/>
  <c r="I206" i="43"/>
  <c r="L204" i="43"/>
  <c r="K204" i="43" s="1"/>
  <c r="I208" i="19" s="1"/>
  <c r="M208" i="19" s="1"/>
  <c r="O207" i="19" s="1"/>
  <c r="H204" i="43"/>
  <c r="A208" i="43"/>
  <c r="Q207" i="43"/>
  <c r="R207" i="43" s="1"/>
  <c r="C207" i="43"/>
  <c r="E211" i="19"/>
  <c r="E220" i="41"/>
  <c r="B221" i="41"/>
  <c r="Y221" i="41" s="1"/>
  <c r="R220" i="41"/>
  <c r="S220" i="41" s="1"/>
  <c r="K224" i="3"/>
  <c r="F219" i="41"/>
  <c r="C223" i="3"/>
  <c r="A222" i="3"/>
  <c r="H196" i="3"/>
  <c r="I195" i="3"/>
  <c r="M195" i="3" s="1"/>
  <c r="F196" i="3"/>
  <c r="G196" i="3"/>
  <c r="D195" i="3"/>
  <c r="E196" i="3"/>
  <c r="K223" i="3"/>
  <c r="U191" i="19"/>
  <c r="R192" i="19"/>
  <c r="U191" i="3"/>
  <c r="Q193" i="3"/>
  <c r="R192" i="3"/>
  <c r="O192" i="3"/>
  <c r="A210" i="19" l="1"/>
  <c r="D221" i="41"/>
  <c r="C221" i="41"/>
  <c r="E208" i="43"/>
  <c r="D208" i="43"/>
  <c r="D210" i="19"/>
  <c r="C211" i="19"/>
  <c r="R211" i="19" s="1"/>
  <c r="S211" i="19" s="1"/>
  <c r="S209" i="19"/>
  <c r="U209" i="19"/>
  <c r="S210" i="19"/>
  <c r="U210" i="19"/>
  <c r="H219" i="41"/>
  <c r="W207" i="43"/>
  <c r="K211" i="19" s="1"/>
  <c r="S207" i="43"/>
  <c r="T207" i="43" s="1"/>
  <c r="F207" i="43"/>
  <c r="H205" i="43"/>
  <c r="L205" i="43"/>
  <c r="K205" i="43" s="1"/>
  <c r="I209" i="19" s="1"/>
  <c r="M209" i="19" s="1"/>
  <c r="O208" i="19" s="1"/>
  <c r="G207" i="43"/>
  <c r="G211" i="19" s="1"/>
  <c r="C224" i="3"/>
  <c r="E224" i="3"/>
  <c r="F224" i="3"/>
  <c r="J207" i="43"/>
  <c r="M207" i="43" s="1"/>
  <c r="A209" i="43"/>
  <c r="C208" i="43"/>
  <c r="Q208" i="43"/>
  <c r="R208" i="43" s="1"/>
  <c r="G208" i="43"/>
  <c r="G212" i="19" s="1"/>
  <c r="H206" i="43"/>
  <c r="L206" i="43"/>
  <c r="K206" i="43" s="1"/>
  <c r="I210" i="19" s="1"/>
  <c r="M210" i="19" s="1"/>
  <c r="F220" i="41"/>
  <c r="K225" i="3"/>
  <c r="B222" i="41"/>
  <c r="Y222" i="41" s="1"/>
  <c r="F221" i="41"/>
  <c r="E221" i="41"/>
  <c r="P220" i="41"/>
  <c r="Q220" i="41" s="1"/>
  <c r="I220" i="41" s="1"/>
  <c r="G219" i="41"/>
  <c r="K219" i="41"/>
  <c r="L219" i="41"/>
  <c r="A223" i="3"/>
  <c r="H197" i="3"/>
  <c r="I196" i="3"/>
  <c r="M196" i="3" s="1"/>
  <c r="F197" i="3"/>
  <c r="G197" i="3"/>
  <c r="D196" i="3"/>
  <c r="E197" i="3"/>
  <c r="O193" i="3"/>
  <c r="R193" i="19"/>
  <c r="U192" i="19"/>
  <c r="U192" i="3"/>
  <c r="Q194" i="3"/>
  <c r="R193" i="3"/>
  <c r="D222" i="41" l="1"/>
  <c r="C222" i="41"/>
  <c r="E209" i="43"/>
  <c r="D209" i="43"/>
  <c r="C212" i="19"/>
  <c r="R212" i="19" s="1"/>
  <c r="D211" i="19"/>
  <c r="A211" i="19"/>
  <c r="U211" i="19"/>
  <c r="J219" i="41"/>
  <c r="O209" i="19"/>
  <c r="S212" i="19"/>
  <c r="U212" i="19"/>
  <c r="W208" i="43"/>
  <c r="K212" i="19" s="1"/>
  <c r="I207" i="43"/>
  <c r="F211" i="19"/>
  <c r="L220" i="41"/>
  <c r="G224" i="3"/>
  <c r="S208" i="43"/>
  <c r="T208" i="43" s="1"/>
  <c r="J208" i="43" s="1"/>
  <c r="E212" i="19"/>
  <c r="D212" i="19"/>
  <c r="E225" i="3"/>
  <c r="C225" i="3"/>
  <c r="G225" i="3"/>
  <c r="F225" i="3"/>
  <c r="D224" i="3"/>
  <c r="F208" i="43"/>
  <c r="F212" i="19" s="1"/>
  <c r="A210" i="43"/>
  <c r="C209" i="43"/>
  <c r="W209" i="43" s="1"/>
  <c r="K213" i="19" s="1"/>
  <c r="Q209" i="43"/>
  <c r="R209" i="43" s="1"/>
  <c r="E213" i="19"/>
  <c r="H221" i="41"/>
  <c r="B223" i="41"/>
  <c r="Y223" i="41" s="1"/>
  <c r="K226" i="3"/>
  <c r="E222" i="41"/>
  <c r="F222" i="41"/>
  <c r="R221" i="41"/>
  <c r="S221" i="41" s="1"/>
  <c r="H220" i="41"/>
  <c r="P221" i="41"/>
  <c r="Q221" i="41" s="1"/>
  <c r="I221" i="41" s="1"/>
  <c r="L221" i="41" s="1"/>
  <c r="A224" i="3"/>
  <c r="H198" i="3"/>
  <c r="I197" i="3"/>
  <c r="M197" i="3" s="1"/>
  <c r="F198" i="3"/>
  <c r="G198" i="3"/>
  <c r="D197" i="3"/>
  <c r="E198" i="3"/>
  <c r="O194" i="3"/>
  <c r="R194" i="19"/>
  <c r="U193" i="19"/>
  <c r="U193" i="3"/>
  <c r="Q195" i="3"/>
  <c r="R194" i="3"/>
  <c r="A212" i="19" l="1"/>
  <c r="D223" i="41"/>
  <c r="C223" i="41"/>
  <c r="E210" i="43"/>
  <c r="D210" i="43"/>
  <c r="C213" i="19"/>
  <c r="D213" i="19" s="1"/>
  <c r="L207" i="43"/>
  <c r="K207" i="43" s="1"/>
  <c r="I211" i="19" s="1"/>
  <c r="M211" i="19" s="1"/>
  <c r="O210" i="19" s="1"/>
  <c r="H207" i="43"/>
  <c r="G209" i="43"/>
  <c r="S209" i="43"/>
  <c r="T209" i="43" s="1"/>
  <c r="J209" i="43" s="1"/>
  <c r="F209" i="43"/>
  <c r="F213" i="19" s="1"/>
  <c r="P222" i="41"/>
  <c r="Q222" i="41" s="1"/>
  <c r="D225" i="3"/>
  <c r="F226" i="3"/>
  <c r="E226" i="3"/>
  <c r="C226" i="3"/>
  <c r="G226" i="3"/>
  <c r="A211" i="43"/>
  <c r="E214" i="19"/>
  <c r="C210" i="43"/>
  <c r="W210" i="43" s="1"/>
  <c r="K214" i="19" s="1"/>
  <c r="Q210" i="43"/>
  <c r="R210" i="43" s="1"/>
  <c r="M208" i="43"/>
  <c r="I208" i="43"/>
  <c r="H222" i="41"/>
  <c r="R222" i="41"/>
  <c r="S222" i="41" s="1"/>
  <c r="K220" i="41"/>
  <c r="J220" i="41" s="1"/>
  <c r="I224" i="3" s="1"/>
  <c r="M224" i="3" s="1"/>
  <c r="G220" i="41"/>
  <c r="H224" i="3" s="1"/>
  <c r="E223" i="41"/>
  <c r="F223" i="41"/>
  <c r="P223" i="41"/>
  <c r="Q223" i="41" s="1"/>
  <c r="R223" i="41"/>
  <c r="S223" i="41" s="1"/>
  <c r="T223" i="41"/>
  <c r="T222" i="41" s="1"/>
  <c r="T221" i="41" s="1"/>
  <c r="T220" i="41" s="1"/>
  <c r="T219" i="41" s="1"/>
  <c r="T218" i="41" s="1"/>
  <c r="T217" i="41" s="1"/>
  <c r="T216" i="41" s="1"/>
  <c r="T215" i="41" s="1"/>
  <c r="T214" i="41" s="1"/>
  <c r="T213" i="41" s="1"/>
  <c r="T212" i="41" s="1"/>
  <c r="T211" i="41" s="1"/>
  <c r="T210" i="41" s="1"/>
  <c r="T209" i="41" s="1"/>
  <c r="T208" i="41" s="1"/>
  <c r="T207" i="41" s="1"/>
  <c r="T206" i="41" s="1"/>
  <c r="T205" i="41" s="1"/>
  <c r="T204" i="41" s="1"/>
  <c r="T203" i="41" s="1"/>
  <c r="T202" i="41" s="1"/>
  <c r="T201" i="41" s="1"/>
  <c r="T200" i="41" s="1"/>
  <c r="T199" i="41" s="1"/>
  <c r="T198" i="41" s="1"/>
  <c r="T197" i="41" s="1"/>
  <c r="T196" i="41" s="1"/>
  <c r="T195" i="41" s="1"/>
  <c r="T194" i="41" s="1"/>
  <c r="T193" i="41" s="1"/>
  <c r="T192" i="41" s="1"/>
  <c r="T191" i="41" s="1"/>
  <c r="T190" i="41" s="1"/>
  <c r="T189" i="41" s="1"/>
  <c r="T188" i="41" s="1"/>
  <c r="T187" i="41" s="1"/>
  <c r="T186" i="41" s="1"/>
  <c r="T185" i="41" s="1"/>
  <c r="T184" i="41" s="1"/>
  <c r="T183" i="41" s="1"/>
  <c r="T182" i="41" s="1"/>
  <c r="T181" i="41" s="1"/>
  <c r="T180" i="41" s="1"/>
  <c r="T179" i="41" s="1"/>
  <c r="T178" i="41" s="1"/>
  <c r="T177" i="41" s="1"/>
  <c r="T176" i="41" s="1"/>
  <c r="T175" i="41" s="1"/>
  <c r="T174" i="41" s="1"/>
  <c r="T173" i="41" s="1"/>
  <c r="T172" i="41" s="1"/>
  <c r="T171" i="41" s="1"/>
  <c r="T170" i="41" s="1"/>
  <c r="T169" i="41" s="1"/>
  <c r="T168" i="41" s="1"/>
  <c r="T167" i="41" s="1"/>
  <c r="T166" i="41" s="1"/>
  <c r="T165" i="41" s="1"/>
  <c r="T164" i="41" s="1"/>
  <c r="T163" i="41" s="1"/>
  <c r="T162" i="41" s="1"/>
  <c r="T161" i="41" s="1"/>
  <c r="T160" i="41" s="1"/>
  <c r="T159" i="41" s="1"/>
  <c r="T158" i="41" s="1"/>
  <c r="T157" i="41" s="1"/>
  <c r="T156" i="41" s="1"/>
  <c r="T155" i="41" s="1"/>
  <c r="T154" i="41" s="1"/>
  <c r="T153" i="41" s="1"/>
  <c r="T152" i="41" s="1"/>
  <c r="T151" i="41" s="1"/>
  <c r="T150" i="41" s="1"/>
  <c r="T149" i="41" s="1"/>
  <c r="T148" i="41" s="1"/>
  <c r="T147" i="41" s="1"/>
  <c r="T146" i="41" s="1"/>
  <c r="T145" i="41" s="1"/>
  <c r="T144" i="41" s="1"/>
  <c r="T143" i="41" s="1"/>
  <c r="T142" i="41" s="1"/>
  <c r="T141" i="41" s="1"/>
  <c r="T140" i="41" s="1"/>
  <c r="T139" i="41" s="1"/>
  <c r="T138" i="41" s="1"/>
  <c r="T137" i="41" s="1"/>
  <c r="T136" i="41" s="1"/>
  <c r="T135" i="41" s="1"/>
  <c r="T134" i="41" s="1"/>
  <c r="T133" i="41" s="1"/>
  <c r="T132" i="41" s="1"/>
  <c r="T131" i="41" s="1"/>
  <c r="T130" i="41" s="1"/>
  <c r="T129" i="41" s="1"/>
  <c r="T128" i="41" s="1"/>
  <c r="T127" i="41" s="1"/>
  <c r="T126" i="41" s="1"/>
  <c r="T125" i="41" s="1"/>
  <c r="T124" i="41" s="1"/>
  <c r="T123" i="41" s="1"/>
  <c r="T122" i="41" s="1"/>
  <c r="T121" i="41" s="1"/>
  <c r="T120" i="41" s="1"/>
  <c r="T119" i="41" s="1"/>
  <c r="T118" i="41" s="1"/>
  <c r="T117" i="41" s="1"/>
  <c r="T116" i="41" s="1"/>
  <c r="T115" i="41" s="1"/>
  <c r="T114" i="41" s="1"/>
  <c r="T113" i="41" s="1"/>
  <c r="T112" i="41" s="1"/>
  <c r="T111" i="41" s="1"/>
  <c r="T110" i="41" s="1"/>
  <c r="T109" i="41" s="1"/>
  <c r="T108" i="41" s="1"/>
  <c r="T107" i="41" s="1"/>
  <c r="T106" i="41" s="1"/>
  <c r="T105" i="41" s="1"/>
  <c r="T104" i="41" s="1"/>
  <c r="T103" i="41" s="1"/>
  <c r="T102" i="41" s="1"/>
  <c r="T101" i="41" s="1"/>
  <c r="T100" i="41" s="1"/>
  <c r="T99" i="41" s="1"/>
  <c r="T98" i="41" s="1"/>
  <c r="T97" i="41" s="1"/>
  <c r="T96" i="41" s="1"/>
  <c r="T95" i="41" s="1"/>
  <c r="T94" i="41" s="1"/>
  <c r="T93" i="41" s="1"/>
  <c r="T92" i="41" s="1"/>
  <c r="T91" i="41" s="1"/>
  <c r="T90" i="41" s="1"/>
  <c r="T89" i="41" s="1"/>
  <c r="T88" i="41" s="1"/>
  <c r="T87" i="41" s="1"/>
  <c r="T86" i="41" s="1"/>
  <c r="T85" i="41" s="1"/>
  <c r="T84" i="41" s="1"/>
  <c r="T83" i="41" s="1"/>
  <c r="T82" i="41" s="1"/>
  <c r="T81" i="41" s="1"/>
  <c r="T80" i="41" s="1"/>
  <c r="T79" i="41" s="1"/>
  <c r="T78" i="41" s="1"/>
  <c r="T77" i="41" s="1"/>
  <c r="T76" i="41" s="1"/>
  <c r="T75" i="41" s="1"/>
  <c r="T74" i="41" s="1"/>
  <c r="T73" i="41" s="1"/>
  <c r="T72" i="41" s="1"/>
  <c r="T71" i="41" s="1"/>
  <c r="T70" i="41" s="1"/>
  <c r="T69" i="41" s="1"/>
  <c r="T68" i="41" s="1"/>
  <c r="T67" i="41" s="1"/>
  <c r="T66" i="41" s="1"/>
  <c r="T65" i="41" s="1"/>
  <c r="T64" i="41" s="1"/>
  <c r="T63" i="41" s="1"/>
  <c r="T62" i="41" s="1"/>
  <c r="T61" i="41" s="1"/>
  <c r="T60" i="41" s="1"/>
  <c r="T59" i="41" s="1"/>
  <c r="T58" i="41" s="1"/>
  <c r="T57" i="41" s="1"/>
  <c r="T56" i="41" s="1"/>
  <c r="T55" i="41" s="1"/>
  <c r="T54" i="41" s="1"/>
  <c r="T53" i="41" s="1"/>
  <c r="T52" i="41" s="1"/>
  <c r="T51" i="41" s="1"/>
  <c r="T50" i="41" s="1"/>
  <c r="T49" i="41" s="1"/>
  <c r="T48" i="41" s="1"/>
  <c r="T47" i="41" s="1"/>
  <c r="T46" i="41" s="1"/>
  <c r="T45" i="41" s="1"/>
  <c r="T44" i="41" s="1"/>
  <c r="T43" i="41" s="1"/>
  <c r="T42" i="41" s="1"/>
  <c r="T41" i="41" s="1"/>
  <c r="T40" i="41" s="1"/>
  <c r="T39" i="41" s="1"/>
  <c r="T38" i="41" s="1"/>
  <c r="T37" i="41" s="1"/>
  <c r="T36" i="41" s="1"/>
  <c r="T35" i="41" s="1"/>
  <c r="T34" i="41" s="1"/>
  <c r="T33" i="41" s="1"/>
  <c r="T32" i="41" s="1"/>
  <c r="T31" i="41" s="1"/>
  <c r="T30" i="41" s="1"/>
  <c r="T29" i="41" s="1"/>
  <c r="T28" i="41" s="1"/>
  <c r="T27" i="41" s="1"/>
  <c r="T26" i="41" s="1"/>
  <c r="T25" i="41" s="1"/>
  <c r="T24" i="41" s="1"/>
  <c r="T23" i="41" s="1"/>
  <c r="T22" i="41" s="1"/>
  <c r="T21" i="41" s="1"/>
  <c r="T20" i="41" s="1"/>
  <c r="T19" i="41" s="1"/>
  <c r="T18" i="41" s="1"/>
  <c r="T17" i="41" s="1"/>
  <c r="T16" i="41" s="1"/>
  <c r="T15" i="41" s="1"/>
  <c r="T14" i="41" s="1"/>
  <c r="U223" i="41"/>
  <c r="U222" i="41" s="1"/>
  <c r="U221" i="41" s="1"/>
  <c r="U220" i="41" s="1"/>
  <c r="U219" i="41" s="1"/>
  <c r="U218" i="41" s="1"/>
  <c r="U217" i="41" s="1"/>
  <c r="U216" i="41" s="1"/>
  <c r="U215" i="41" s="1"/>
  <c r="U214" i="41" s="1"/>
  <c r="U213" i="41" s="1"/>
  <c r="U212" i="41" s="1"/>
  <c r="U211" i="41" s="1"/>
  <c r="U210" i="41" s="1"/>
  <c r="U209" i="41" s="1"/>
  <c r="U208" i="41" s="1"/>
  <c r="U207" i="41" s="1"/>
  <c r="U206" i="41" s="1"/>
  <c r="U205" i="41" s="1"/>
  <c r="U204" i="41" s="1"/>
  <c r="U203" i="41" s="1"/>
  <c r="U202" i="41" s="1"/>
  <c r="U201" i="41" s="1"/>
  <c r="U200" i="41" s="1"/>
  <c r="U199" i="41" s="1"/>
  <c r="U198" i="41" s="1"/>
  <c r="U197" i="41" s="1"/>
  <c r="U196" i="41" s="1"/>
  <c r="U195" i="41" s="1"/>
  <c r="U194" i="41" s="1"/>
  <c r="U193" i="41" s="1"/>
  <c r="U192" i="41" s="1"/>
  <c r="U191" i="41" s="1"/>
  <c r="U190" i="41" s="1"/>
  <c r="U189" i="41" s="1"/>
  <c r="U188" i="41" s="1"/>
  <c r="U187" i="41" s="1"/>
  <c r="U186" i="41" s="1"/>
  <c r="U185" i="41" s="1"/>
  <c r="U184" i="41" s="1"/>
  <c r="U183" i="41" s="1"/>
  <c r="U182" i="41" s="1"/>
  <c r="U181" i="41" s="1"/>
  <c r="U180" i="41" s="1"/>
  <c r="U179" i="41" s="1"/>
  <c r="U178" i="41" s="1"/>
  <c r="U177" i="41" s="1"/>
  <c r="U176" i="41" s="1"/>
  <c r="U175" i="41" s="1"/>
  <c r="U174" i="41" s="1"/>
  <c r="U173" i="41" s="1"/>
  <c r="U172" i="41" s="1"/>
  <c r="U171" i="41" s="1"/>
  <c r="U170" i="41" s="1"/>
  <c r="U169" i="41" s="1"/>
  <c r="U168" i="41" s="1"/>
  <c r="U167" i="41" s="1"/>
  <c r="U166" i="41" s="1"/>
  <c r="U165" i="41" s="1"/>
  <c r="U164" i="41" s="1"/>
  <c r="U163" i="41" s="1"/>
  <c r="U162" i="41" s="1"/>
  <c r="U161" i="41" s="1"/>
  <c r="U160" i="41" s="1"/>
  <c r="U159" i="41" s="1"/>
  <c r="U158" i="41" s="1"/>
  <c r="U157" i="41" s="1"/>
  <c r="U156" i="41" s="1"/>
  <c r="U155" i="41" s="1"/>
  <c r="U154" i="41" s="1"/>
  <c r="U153" i="41" s="1"/>
  <c r="U152" i="41" s="1"/>
  <c r="U151" i="41" s="1"/>
  <c r="U150" i="41" s="1"/>
  <c r="U149" i="41" s="1"/>
  <c r="U148" i="41" s="1"/>
  <c r="U147" i="41" s="1"/>
  <c r="U146" i="41" s="1"/>
  <c r="U145" i="41" s="1"/>
  <c r="U144" i="41" s="1"/>
  <c r="U143" i="41" s="1"/>
  <c r="U142" i="41" s="1"/>
  <c r="U141" i="41" s="1"/>
  <c r="U140" i="41" s="1"/>
  <c r="U139" i="41" s="1"/>
  <c r="U138" i="41" s="1"/>
  <c r="U137" i="41" s="1"/>
  <c r="U136" i="41" s="1"/>
  <c r="U135" i="41" s="1"/>
  <c r="U134" i="41" s="1"/>
  <c r="U133" i="41" s="1"/>
  <c r="U132" i="41" s="1"/>
  <c r="U131" i="41" s="1"/>
  <c r="U130" i="41" s="1"/>
  <c r="U129" i="41" s="1"/>
  <c r="U128" i="41" s="1"/>
  <c r="U127" i="41" s="1"/>
  <c r="U126" i="41" s="1"/>
  <c r="U125" i="41" s="1"/>
  <c r="U124" i="41" s="1"/>
  <c r="U123" i="41" s="1"/>
  <c r="U122" i="41" s="1"/>
  <c r="U121" i="41" s="1"/>
  <c r="U120" i="41" s="1"/>
  <c r="U119" i="41" s="1"/>
  <c r="U118" i="41" s="1"/>
  <c r="U117" i="41" s="1"/>
  <c r="U116" i="41" s="1"/>
  <c r="U115" i="41" s="1"/>
  <c r="U114" i="41" s="1"/>
  <c r="U113" i="41" s="1"/>
  <c r="U112" i="41" s="1"/>
  <c r="U111" i="41" s="1"/>
  <c r="U110" i="41" s="1"/>
  <c r="U109" i="41" s="1"/>
  <c r="U108" i="41" s="1"/>
  <c r="U107" i="41" s="1"/>
  <c r="U106" i="41" s="1"/>
  <c r="U105" i="41" s="1"/>
  <c r="U104" i="41" s="1"/>
  <c r="U103" i="41" s="1"/>
  <c r="U102" i="41" s="1"/>
  <c r="U101" i="41" s="1"/>
  <c r="U100" i="41" s="1"/>
  <c r="U99" i="41" s="1"/>
  <c r="U98" i="41" s="1"/>
  <c r="U97" i="41" s="1"/>
  <c r="U96" i="41" s="1"/>
  <c r="U95" i="41" s="1"/>
  <c r="U94" i="41" s="1"/>
  <c r="U93" i="41" s="1"/>
  <c r="U92" i="41" s="1"/>
  <c r="U91" i="41" s="1"/>
  <c r="U90" i="41" s="1"/>
  <c r="U89" i="41" s="1"/>
  <c r="U88" i="41" s="1"/>
  <c r="U87" i="41" s="1"/>
  <c r="U86" i="41" s="1"/>
  <c r="U85" i="41" s="1"/>
  <c r="U84" i="41" s="1"/>
  <c r="U83" i="41" s="1"/>
  <c r="U82" i="41" s="1"/>
  <c r="U81" i="41" s="1"/>
  <c r="U80" i="41" s="1"/>
  <c r="U79" i="41" s="1"/>
  <c r="U78" i="41" s="1"/>
  <c r="U77" i="41" s="1"/>
  <c r="U76" i="41" s="1"/>
  <c r="U75" i="41" s="1"/>
  <c r="U74" i="41" s="1"/>
  <c r="U73" i="41" s="1"/>
  <c r="U72" i="41" s="1"/>
  <c r="U71" i="41" s="1"/>
  <c r="U70" i="41" s="1"/>
  <c r="U69" i="41" s="1"/>
  <c r="U68" i="41" s="1"/>
  <c r="U67" i="41" s="1"/>
  <c r="U66" i="41" s="1"/>
  <c r="U65" i="41" s="1"/>
  <c r="U64" i="41" s="1"/>
  <c r="U63" i="41" s="1"/>
  <c r="U62" i="41" s="1"/>
  <c r="U61" i="41" s="1"/>
  <c r="U60" i="41" s="1"/>
  <c r="U59" i="41" s="1"/>
  <c r="U58" i="41" s="1"/>
  <c r="U57" i="41" s="1"/>
  <c r="U56" i="41" s="1"/>
  <c r="U55" i="41" s="1"/>
  <c r="U54" i="41" s="1"/>
  <c r="U53" i="41" s="1"/>
  <c r="U52" i="41" s="1"/>
  <c r="U51" i="41" s="1"/>
  <c r="U50" i="41" s="1"/>
  <c r="U49" i="41" s="1"/>
  <c r="U48" i="41" s="1"/>
  <c r="U47" i="41" s="1"/>
  <c r="U46" i="41" s="1"/>
  <c r="U45" i="41" s="1"/>
  <c r="U44" i="41" s="1"/>
  <c r="U43" i="41" s="1"/>
  <c r="U42" i="41" s="1"/>
  <c r="U41" i="41" s="1"/>
  <c r="U40" i="41" s="1"/>
  <c r="U39" i="41" s="1"/>
  <c r="U38" i="41" s="1"/>
  <c r="U37" i="41" s="1"/>
  <c r="U36" i="41" s="1"/>
  <c r="U35" i="41" s="1"/>
  <c r="U34" i="41" s="1"/>
  <c r="U33" i="41" s="1"/>
  <c r="U32" i="41" s="1"/>
  <c r="U31" i="41" s="1"/>
  <c r="U30" i="41" s="1"/>
  <c r="U29" i="41" s="1"/>
  <c r="U28" i="41" s="1"/>
  <c r="U27" i="41" s="1"/>
  <c r="U26" i="41" s="1"/>
  <c r="U25" i="41" s="1"/>
  <c r="U24" i="41" s="1"/>
  <c r="U23" i="41" s="1"/>
  <c r="U22" i="41" s="1"/>
  <c r="U21" i="41" s="1"/>
  <c r="U20" i="41" s="1"/>
  <c r="U19" i="41" s="1"/>
  <c r="U18" i="41" s="1"/>
  <c r="U17" i="41" s="1"/>
  <c r="U16" i="41" s="1"/>
  <c r="U15" i="41" s="1"/>
  <c r="U14" i="41" s="1"/>
  <c r="V223" i="41"/>
  <c r="V222" i="41" s="1"/>
  <c r="V221" i="41" s="1"/>
  <c r="V220" i="41" s="1"/>
  <c r="V219" i="41" s="1"/>
  <c r="V218" i="41" s="1"/>
  <c r="V217" i="41" s="1"/>
  <c r="V216" i="41" s="1"/>
  <c r="V215" i="41" s="1"/>
  <c r="V214" i="41" s="1"/>
  <c r="V213" i="41" s="1"/>
  <c r="V212" i="41" s="1"/>
  <c r="V211" i="41" s="1"/>
  <c r="V210" i="41" s="1"/>
  <c r="V209" i="41" s="1"/>
  <c r="V208" i="41" s="1"/>
  <c r="V207" i="41" s="1"/>
  <c r="V206" i="41" s="1"/>
  <c r="V205" i="41" s="1"/>
  <c r="V204" i="41" s="1"/>
  <c r="V203" i="41" s="1"/>
  <c r="V202" i="41" s="1"/>
  <c r="V201" i="41" s="1"/>
  <c r="V200" i="41" s="1"/>
  <c r="V199" i="41" s="1"/>
  <c r="V198" i="41" s="1"/>
  <c r="V197" i="41" s="1"/>
  <c r="V196" i="41" s="1"/>
  <c r="V195" i="41" s="1"/>
  <c r="V194" i="41" s="1"/>
  <c r="V193" i="41" s="1"/>
  <c r="V192" i="41" s="1"/>
  <c r="V191" i="41" s="1"/>
  <c r="V190" i="41" s="1"/>
  <c r="V189" i="41" s="1"/>
  <c r="V188" i="41" s="1"/>
  <c r="V187" i="41" s="1"/>
  <c r="V186" i="41" s="1"/>
  <c r="V185" i="41" s="1"/>
  <c r="V184" i="41" s="1"/>
  <c r="V183" i="41" s="1"/>
  <c r="V182" i="41" s="1"/>
  <c r="V181" i="41" s="1"/>
  <c r="V180" i="41" s="1"/>
  <c r="V179" i="41" s="1"/>
  <c r="V178" i="41" s="1"/>
  <c r="V177" i="41" s="1"/>
  <c r="V176" i="41" s="1"/>
  <c r="V175" i="41" s="1"/>
  <c r="V174" i="41" s="1"/>
  <c r="V173" i="41" s="1"/>
  <c r="V172" i="41" s="1"/>
  <c r="V171" i="41" s="1"/>
  <c r="V170" i="41" s="1"/>
  <c r="V169" i="41" s="1"/>
  <c r="V168" i="41" s="1"/>
  <c r="V167" i="41" s="1"/>
  <c r="V166" i="41" s="1"/>
  <c r="V165" i="41" s="1"/>
  <c r="V164" i="41" s="1"/>
  <c r="V163" i="41" s="1"/>
  <c r="V162" i="41" s="1"/>
  <c r="V161" i="41" s="1"/>
  <c r="V160" i="41" s="1"/>
  <c r="V159" i="41" s="1"/>
  <c r="V158" i="41" s="1"/>
  <c r="V157" i="41" s="1"/>
  <c r="V156" i="41" s="1"/>
  <c r="V155" i="41" s="1"/>
  <c r="V154" i="41" s="1"/>
  <c r="V153" i="41" s="1"/>
  <c r="V152" i="41" s="1"/>
  <c r="V151" i="41" s="1"/>
  <c r="V150" i="41" s="1"/>
  <c r="V149" i="41" s="1"/>
  <c r="V148" i="41" s="1"/>
  <c r="V147" i="41" s="1"/>
  <c r="V146" i="41" s="1"/>
  <c r="V145" i="41" s="1"/>
  <c r="V144" i="41" s="1"/>
  <c r="V143" i="41" s="1"/>
  <c r="V142" i="41" s="1"/>
  <c r="V141" i="41" s="1"/>
  <c r="V140" i="41" s="1"/>
  <c r="V139" i="41" s="1"/>
  <c r="V138" i="41" s="1"/>
  <c r="V137" i="41" s="1"/>
  <c r="V136" i="41" s="1"/>
  <c r="V135" i="41" s="1"/>
  <c r="V134" i="41" s="1"/>
  <c r="V133" i="41" s="1"/>
  <c r="V132" i="41" s="1"/>
  <c r="V131" i="41" s="1"/>
  <c r="V130" i="41" s="1"/>
  <c r="V129" i="41" s="1"/>
  <c r="V128" i="41" s="1"/>
  <c r="V127" i="41" s="1"/>
  <c r="V126" i="41" s="1"/>
  <c r="V125" i="41" s="1"/>
  <c r="V124" i="41" s="1"/>
  <c r="V123" i="41" s="1"/>
  <c r="V122" i="41" s="1"/>
  <c r="V121" i="41" s="1"/>
  <c r="V120" i="41" s="1"/>
  <c r="V119" i="41" s="1"/>
  <c r="V118" i="41" s="1"/>
  <c r="V117" i="41" s="1"/>
  <c r="V116" i="41" s="1"/>
  <c r="V115" i="41" s="1"/>
  <c r="V114" i="41" s="1"/>
  <c r="V113" i="41" s="1"/>
  <c r="V112" i="41" s="1"/>
  <c r="V111" i="41" s="1"/>
  <c r="V110" i="41" s="1"/>
  <c r="V109" i="41" s="1"/>
  <c r="V108" i="41" s="1"/>
  <c r="V107" i="41" s="1"/>
  <c r="V106" i="41" s="1"/>
  <c r="V105" i="41" s="1"/>
  <c r="V104" i="41" s="1"/>
  <c r="V103" i="41" s="1"/>
  <c r="V102" i="41" s="1"/>
  <c r="V101" i="41" s="1"/>
  <c r="V100" i="41" s="1"/>
  <c r="V99" i="41" s="1"/>
  <c r="V98" i="41" s="1"/>
  <c r="V97" i="41" s="1"/>
  <c r="V96" i="41" s="1"/>
  <c r="V95" i="41" s="1"/>
  <c r="V94" i="41" s="1"/>
  <c r="V93" i="41" s="1"/>
  <c r="V92" i="41" s="1"/>
  <c r="V91" i="41" s="1"/>
  <c r="V90" i="41" s="1"/>
  <c r="V89" i="41" s="1"/>
  <c r="V88" i="41" s="1"/>
  <c r="V87" i="41" s="1"/>
  <c r="V86" i="41" s="1"/>
  <c r="V85" i="41" s="1"/>
  <c r="V84" i="41" s="1"/>
  <c r="V83" i="41" s="1"/>
  <c r="V82" i="41" s="1"/>
  <c r="V81" i="41" s="1"/>
  <c r="V80" i="41" s="1"/>
  <c r="V79" i="41" s="1"/>
  <c r="V78" i="41" s="1"/>
  <c r="V77" i="41" s="1"/>
  <c r="V76" i="41" s="1"/>
  <c r="V75" i="41" s="1"/>
  <c r="V74" i="41" s="1"/>
  <c r="V73" i="41" s="1"/>
  <c r="V72" i="41" s="1"/>
  <c r="V71" i="41" s="1"/>
  <c r="V70" i="41" s="1"/>
  <c r="V69" i="41" s="1"/>
  <c r="V68" i="41" s="1"/>
  <c r="V67" i="41" s="1"/>
  <c r="V66" i="41" s="1"/>
  <c r="V65" i="41" s="1"/>
  <c r="V64" i="41" s="1"/>
  <c r="V63" i="41" s="1"/>
  <c r="V62" i="41" s="1"/>
  <c r="V61" i="41" s="1"/>
  <c r="V60" i="41" s="1"/>
  <c r="V59" i="41" s="1"/>
  <c r="V58" i="41" s="1"/>
  <c r="V57" i="41" s="1"/>
  <c r="V56" i="41" s="1"/>
  <c r="V55" i="41" s="1"/>
  <c r="V54" i="41" s="1"/>
  <c r="V53" i="41" s="1"/>
  <c r="V52" i="41" s="1"/>
  <c r="V51" i="41" s="1"/>
  <c r="V50" i="41" s="1"/>
  <c r="V49" i="41" s="1"/>
  <c r="V48" i="41" s="1"/>
  <c r="V47" i="41" s="1"/>
  <c r="V46" i="41" s="1"/>
  <c r="V45" i="41" s="1"/>
  <c r="V44" i="41" s="1"/>
  <c r="V43" i="41" s="1"/>
  <c r="V42" i="41" s="1"/>
  <c r="V41" i="41" s="1"/>
  <c r="V40" i="41" s="1"/>
  <c r="V39" i="41" s="1"/>
  <c r="V38" i="41" s="1"/>
  <c r="V37" i="41" s="1"/>
  <c r="V36" i="41" s="1"/>
  <c r="V35" i="41" s="1"/>
  <c r="V34" i="41" s="1"/>
  <c r="V33" i="41" s="1"/>
  <c r="V32" i="41" s="1"/>
  <c r="V31" i="41" s="1"/>
  <c r="V30" i="41" s="1"/>
  <c r="V29" i="41" s="1"/>
  <c r="V28" i="41" s="1"/>
  <c r="V27" i="41" s="1"/>
  <c r="V26" i="41" s="1"/>
  <c r="V25" i="41" s="1"/>
  <c r="V24" i="41" s="1"/>
  <c r="V23" i="41" s="1"/>
  <c r="V22" i="41" s="1"/>
  <c r="V21" i="41" s="1"/>
  <c r="W223" i="41"/>
  <c r="W222" i="41" s="1"/>
  <c r="W221" i="41" s="1"/>
  <c r="W220" i="41" s="1"/>
  <c r="W219" i="41" s="1"/>
  <c r="W218" i="41" s="1"/>
  <c r="W217" i="41" s="1"/>
  <c r="W216" i="41" s="1"/>
  <c r="W215" i="41" s="1"/>
  <c r="W214" i="41" s="1"/>
  <c r="W213" i="41" s="1"/>
  <c r="W212" i="41" s="1"/>
  <c r="W211" i="41" s="1"/>
  <c r="W210" i="41" s="1"/>
  <c r="W209" i="41" s="1"/>
  <c r="W208" i="41" s="1"/>
  <c r="W207" i="41" s="1"/>
  <c r="W206" i="41" s="1"/>
  <c r="W205" i="41" s="1"/>
  <c r="W204" i="41" s="1"/>
  <c r="W203" i="41" s="1"/>
  <c r="W202" i="41" s="1"/>
  <c r="W201" i="41" s="1"/>
  <c r="W200" i="41" s="1"/>
  <c r="W199" i="41" s="1"/>
  <c r="W198" i="41" s="1"/>
  <c r="W197" i="41" s="1"/>
  <c r="W196" i="41" s="1"/>
  <c r="W195" i="41" s="1"/>
  <c r="W194" i="41" s="1"/>
  <c r="W193" i="41" s="1"/>
  <c r="W192" i="41" s="1"/>
  <c r="W191" i="41" s="1"/>
  <c r="W190" i="41" s="1"/>
  <c r="W189" i="41" s="1"/>
  <c r="W188" i="41" s="1"/>
  <c r="W187" i="41" s="1"/>
  <c r="W186" i="41" s="1"/>
  <c r="W185" i="41" s="1"/>
  <c r="W184" i="41" s="1"/>
  <c r="W183" i="41" s="1"/>
  <c r="W182" i="41" s="1"/>
  <c r="W181" i="41" s="1"/>
  <c r="W180" i="41" s="1"/>
  <c r="W179" i="41" s="1"/>
  <c r="W178" i="41" s="1"/>
  <c r="W177" i="41" s="1"/>
  <c r="W176" i="41" s="1"/>
  <c r="W175" i="41" s="1"/>
  <c r="W174" i="41" s="1"/>
  <c r="W173" i="41" s="1"/>
  <c r="W172" i="41" s="1"/>
  <c r="W171" i="41" s="1"/>
  <c r="W170" i="41" s="1"/>
  <c r="W169" i="41" s="1"/>
  <c r="W168" i="41" s="1"/>
  <c r="W167" i="41" s="1"/>
  <c r="W166" i="41" s="1"/>
  <c r="W165" i="41" s="1"/>
  <c r="W164" i="41" s="1"/>
  <c r="W163" i="41" s="1"/>
  <c r="W162" i="41" s="1"/>
  <c r="W161" i="41" s="1"/>
  <c r="W160" i="41" s="1"/>
  <c r="W159" i="41" s="1"/>
  <c r="W158" i="41" s="1"/>
  <c r="W157" i="41" s="1"/>
  <c r="W156" i="41" s="1"/>
  <c r="W155" i="41" s="1"/>
  <c r="W154" i="41" s="1"/>
  <c r="W153" i="41" s="1"/>
  <c r="W152" i="41" s="1"/>
  <c r="W151" i="41" s="1"/>
  <c r="W150" i="41" s="1"/>
  <c r="W149" i="41" s="1"/>
  <c r="W148" i="41" s="1"/>
  <c r="W147" i="41" s="1"/>
  <c r="W146" i="41" s="1"/>
  <c r="W145" i="41" s="1"/>
  <c r="W144" i="41" s="1"/>
  <c r="W143" i="41" s="1"/>
  <c r="W142" i="41" s="1"/>
  <c r="W141" i="41" s="1"/>
  <c r="W140" i="41" s="1"/>
  <c r="W139" i="41" s="1"/>
  <c r="W138" i="41" s="1"/>
  <c r="W137" i="41" s="1"/>
  <c r="W136" i="41" s="1"/>
  <c r="W135" i="41" s="1"/>
  <c r="W134" i="41" s="1"/>
  <c r="W133" i="41" s="1"/>
  <c r="W132" i="41" s="1"/>
  <c r="W131" i="41" s="1"/>
  <c r="W130" i="41" s="1"/>
  <c r="W129" i="41" s="1"/>
  <c r="W128" i="41" s="1"/>
  <c r="W127" i="41" s="1"/>
  <c r="W126" i="41" s="1"/>
  <c r="W125" i="41" s="1"/>
  <c r="W124" i="41" s="1"/>
  <c r="W123" i="41" s="1"/>
  <c r="W122" i="41" s="1"/>
  <c r="W121" i="41" s="1"/>
  <c r="W120" i="41" s="1"/>
  <c r="W119" i="41" s="1"/>
  <c r="W118" i="41" s="1"/>
  <c r="W117" i="41" s="1"/>
  <c r="W116" i="41" s="1"/>
  <c r="W115" i="41" s="1"/>
  <c r="W114" i="41" s="1"/>
  <c r="W113" i="41" s="1"/>
  <c r="W112" i="41" s="1"/>
  <c r="W111" i="41" s="1"/>
  <c r="W110" i="41" s="1"/>
  <c r="W109" i="41" s="1"/>
  <c r="W108" i="41" s="1"/>
  <c r="W107" i="41" s="1"/>
  <c r="W106" i="41" s="1"/>
  <c r="W105" i="41" s="1"/>
  <c r="W104" i="41" s="1"/>
  <c r="W103" i="41" s="1"/>
  <c r="W102" i="41" s="1"/>
  <c r="W101" i="41" s="1"/>
  <c r="W100" i="41" s="1"/>
  <c r="W99" i="41" s="1"/>
  <c r="W98" i="41" s="1"/>
  <c r="W97" i="41" s="1"/>
  <c r="W96" i="41" s="1"/>
  <c r="W95" i="41" s="1"/>
  <c r="W94" i="41" s="1"/>
  <c r="W93" i="41" s="1"/>
  <c r="W92" i="41" s="1"/>
  <c r="W91" i="41" s="1"/>
  <c r="W90" i="41" s="1"/>
  <c r="W89" i="41" s="1"/>
  <c r="W88" i="41" s="1"/>
  <c r="W87" i="41" s="1"/>
  <c r="W86" i="41" s="1"/>
  <c r="W85" i="41" s="1"/>
  <c r="W84" i="41" s="1"/>
  <c r="W83" i="41" s="1"/>
  <c r="W82" i="41" s="1"/>
  <c r="W81" i="41" s="1"/>
  <c r="W80" i="41" s="1"/>
  <c r="W79" i="41" s="1"/>
  <c r="W78" i="41" s="1"/>
  <c r="W77" i="41" s="1"/>
  <c r="W76" i="41" s="1"/>
  <c r="W75" i="41" s="1"/>
  <c r="W74" i="41" s="1"/>
  <c r="W73" i="41" s="1"/>
  <c r="W72" i="41" s="1"/>
  <c r="W71" i="41" s="1"/>
  <c r="W70" i="41" s="1"/>
  <c r="W69" i="41" s="1"/>
  <c r="W68" i="41" s="1"/>
  <c r="W67" i="41" s="1"/>
  <c r="W66" i="41" s="1"/>
  <c r="W65" i="41" s="1"/>
  <c r="W64" i="41" s="1"/>
  <c r="W63" i="41" s="1"/>
  <c r="W62" i="41" s="1"/>
  <c r="W61" i="41" s="1"/>
  <c r="W60" i="41" s="1"/>
  <c r="W59" i="41" s="1"/>
  <c r="W58" i="41" s="1"/>
  <c r="W57" i="41" s="1"/>
  <c r="W56" i="41" s="1"/>
  <c r="W55" i="41" s="1"/>
  <c r="W54" i="41" s="1"/>
  <c r="W53" i="41" s="1"/>
  <c r="W52" i="41" s="1"/>
  <c r="W51" i="41" s="1"/>
  <c r="W50" i="41" s="1"/>
  <c r="W49" i="41" s="1"/>
  <c r="W48" i="41" s="1"/>
  <c r="W47" i="41" s="1"/>
  <c r="W46" i="41" s="1"/>
  <c r="W45" i="41" s="1"/>
  <c r="W44" i="41" s="1"/>
  <c r="W43" i="41" s="1"/>
  <c r="W42" i="41" s="1"/>
  <c r="W41" i="41" s="1"/>
  <c r="W40" i="41" s="1"/>
  <c r="W39" i="41" s="1"/>
  <c r="W38" i="41" s="1"/>
  <c r="W37" i="41" s="1"/>
  <c r="W36" i="41" s="1"/>
  <c r="W35" i="41" s="1"/>
  <c r="W34" i="41" s="1"/>
  <c r="W33" i="41" s="1"/>
  <c r="W32" i="41" s="1"/>
  <c r="W31" i="41" s="1"/>
  <c r="W30" i="41" s="1"/>
  <c r="W29" i="41" s="1"/>
  <c r="W28" i="41" s="1"/>
  <c r="W27" i="41" s="1"/>
  <c r="W26" i="41" s="1"/>
  <c r="W25" i="41" s="1"/>
  <c r="W24" i="41" s="1"/>
  <c r="W23" i="41" s="1"/>
  <c r="W22" i="41" s="1"/>
  <c r="W21" i="41" s="1"/>
  <c r="W20" i="41" s="1"/>
  <c r="W19" i="41" s="1"/>
  <c r="W18" i="41" s="1"/>
  <c r="W17" i="41" s="1"/>
  <c r="W16" i="41" s="1"/>
  <c r="W15" i="41" s="1"/>
  <c r="W14" i="41" s="1"/>
  <c r="X223" i="41"/>
  <c r="X222" i="41" s="1"/>
  <c r="X221" i="41" s="1"/>
  <c r="X220" i="41" s="1"/>
  <c r="X219" i="41" s="1"/>
  <c r="X218" i="41" s="1"/>
  <c r="X217" i="41" s="1"/>
  <c r="X216" i="41" s="1"/>
  <c r="X215" i="41" s="1"/>
  <c r="X214" i="41" s="1"/>
  <c r="X213" i="41" s="1"/>
  <c r="X212" i="41" s="1"/>
  <c r="X211" i="41" s="1"/>
  <c r="X210" i="41" s="1"/>
  <c r="X209" i="41" s="1"/>
  <c r="X208" i="41" s="1"/>
  <c r="X207" i="41" s="1"/>
  <c r="X206" i="41" s="1"/>
  <c r="X205" i="41" s="1"/>
  <c r="X204" i="41" s="1"/>
  <c r="X203" i="41" s="1"/>
  <c r="X202" i="41" s="1"/>
  <c r="X201" i="41" s="1"/>
  <c r="X200" i="41" s="1"/>
  <c r="X199" i="41" s="1"/>
  <c r="X198" i="41" s="1"/>
  <c r="X197" i="41" s="1"/>
  <c r="X196" i="41" s="1"/>
  <c r="X195" i="41" s="1"/>
  <c r="X194" i="41" s="1"/>
  <c r="X193" i="41" s="1"/>
  <c r="X192" i="41" s="1"/>
  <c r="X191" i="41" s="1"/>
  <c r="X190" i="41" s="1"/>
  <c r="X189" i="41" s="1"/>
  <c r="X188" i="41" s="1"/>
  <c r="X187" i="41" s="1"/>
  <c r="X186" i="41" s="1"/>
  <c r="X185" i="41" s="1"/>
  <c r="X184" i="41" s="1"/>
  <c r="X183" i="41" s="1"/>
  <c r="X182" i="41" s="1"/>
  <c r="X181" i="41" s="1"/>
  <c r="X180" i="41" s="1"/>
  <c r="X179" i="41" s="1"/>
  <c r="X178" i="41" s="1"/>
  <c r="X177" i="41" s="1"/>
  <c r="X176" i="41" s="1"/>
  <c r="X175" i="41" s="1"/>
  <c r="X174" i="41" s="1"/>
  <c r="X173" i="41" s="1"/>
  <c r="X172" i="41" s="1"/>
  <c r="X171" i="41" s="1"/>
  <c r="X170" i="41" s="1"/>
  <c r="X169" i="41" s="1"/>
  <c r="X168" i="41" s="1"/>
  <c r="X167" i="41" s="1"/>
  <c r="X166" i="41" s="1"/>
  <c r="X165" i="41" s="1"/>
  <c r="X164" i="41" s="1"/>
  <c r="X163" i="41" s="1"/>
  <c r="X162" i="41" s="1"/>
  <c r="X161" i="41" s="1"/>
  <c r="X160" i="41" s="1"/>
  <c r="X159" i="41" s="1"/>
  <c r="X158" i="41" s="1"/>
  <c r="X157" i="41" s="1"/>
  <c r="X156" i="41" s="1"/>
  <c r="X155" i="41" s="1"/>
  <c r="X154" i="41" s="1"/>
  <c r="X153" i="41" s="1"/>
  <c r="X152" i="41" s="1"/>
  <c r="X151" i="41" s="1"/>
  <c r="X150" i="41" s="1"/>
  <c r="X149" i="41" s="1"/>
  <c r="X148" i="41" s="1"/>
  <c r="X147" i="41" s="1"/>
  <c r="X146" i="41" s="1"/>
  <c r="X145" i="41" s="1"/>
  <c r="X144" i="41" s="1"/>
  <c r="X143" i="41" s="1"/>
  <c r="X142" i="41" s="1"/>
  <c r="X141" i="41" s="1"/>
  <c r="X140" i="41" s="1"/>
  <c r="X139" i="41" s="1"/>
  <c r="X138" i="41" s="1"/>
  <c r="X137" i="41" s="1"/>
  <c r="X136" i="41" s="1"/>
  <c r="X135" i="41" s="1"/>
  <c r="X134" i="41" s="1"/>
  <c r="X133" i="41" s="1"/>
  <c r="X132" i="41" s="1"/>
  <c r="X131" i="41" s="1"/>
  <c r="X130" i="41" s="1"/>
  <c r="X129" i="41" s="1"/>
  <c r="X128" i="41" s="1"/>
  <c r="X127" i="41" s="1"/>
  <c r="X126" i="41" s="1"/>
  <c r="X125" i="41" s="1"/>
  <c r="X124" i="41" s="1"/>
  <c r="X123" i="41" s="1"/>
  <c r="X122" i="41" s="1"/>
  <c r="X121" i="41" s="1"/>
  <c r="X120" i="41" s="1"/>
  <c r="X119" i="41" s="1"/>
  <c r="X118" i="41" s="1"/>
  <c r="X117" i="41" s="1"/>
  <c r="X116" i="41" s="1"/>
  <c r="X115" i="41" s="1"/>
  <c r="X114" i="41" s="1"/>
  <c r="X113" i="41" s="1"/>
  <c r="X112" i="41" s="1"/>
  <c r="X111" i="41" s="1"/>
  <c r="X110" i="41" s="1"/>
  <c r="X109" i="41" s="1"/>
  <c r="X108" i="41" s="1"/>
  <c r="X107" i="41" s="1"/>
  <c r="X106" i="41" s="1"/>
  <c r="X105" i="41" s="1"/>
  <c r="X104" i="41" s="1"/>
  <c r="X103" i="41" s="1"/>
  <c r="X102" i="41" s="1"/>
  <c r="X101" i="41" s="1"/>
  <c r="X100" i="41" s="1"/>
  <c r="X99" i="41" s="1"/>
  <c r="X98" i="41" s="1"/>
  <c r="X97" i="41" s="1"/>
  <c r="X96" i="41" s="1"/>
  <c r="X95" i="41" s="1"/>
  <c r="X94" i="41" s="1"/>
  <c r="X93" i="41" s="1"/>
  <c r="X92" i="41" s="1"/>
  <c r="X91" i="41" s="1"/>
  <c r="X90" i="41" s="1"/>
  <c r="X89" i="41" s="1"/>
  <c r="X88" i="41" s="1"/>
  <c r="X87" i="41" s="1"/>
  <c r="X86" i="41" s="1"/>
  <c r="X85" i="41" s="1"/>
  <c r="X84" i="41" s="1"/>
  <c r="X83" i="41" s="1"/>
  <c r="X82" i="41" s="1"/>
  <c r="X81" i="41" s="1"/>
  <c r="X80" i="41" s="1"/>
  <c r="X79" i="41" s="1"/>
  <c r="X78" i="41" s="1"/>
  <c r="X77" i="41" s="1"/>
  <c r="X76" i="41" s="1"/>
  <c r="X75" i="41" s="1"/>
  <c r="X74" i="41" s="1"/>
  <c r="X73" i="41" s="1"/>
  <c r="X72" i="41" s="1"/>
  <c r="X71" i="41" s="1"/>
  <c r="X70" i="41" s="1"/>
  <c r="X69" i="41" s="1"/>
  <c r="X68" i="41" s="1"/>
  <c r="X67" i="41" s="1"/>
  <c r="X66" i="41" s="1"/>
  <c r="X65" i="41" s="1"/>
  <c r="X64" i="41" s="1"/>
  <c r="X63" i="41" s="1"/>
  <c r="X62" i="41" s="1"/>
  <c r="X61" i="41" s="1"/>
  <c r="X60" i="41" s="1"/>
  <c r="X59" i="41" s="1"/>
  <c r="X58" i="41" s="1"/>
  <c r="X57" i="41" s="1"/>
  <c r="X56" i="41" s="1"/>
  <c r="X55" i="41" s="1"/>
  <c r="X54" i="41" s="1"/>
  <c r="X53" i="41" s="1"/>
  <c r="X52" i="41" s="1"/>
  <c r="X51" i="41" s="1"/>
  <c r="X50" i="41" s="1"/>
  <c r="X49" i="41" s="1"/>
  <c r="X48" i="41" s="1"/>
  <c r="X47" i="41" s="1"/>
  <c r="X46" i="41" s="1"/>
  <c r="X45" i="41" s="1"/>
  <c r="X44" i="41" s="1"/>
  <c r="X43" i="41" s="1"/>
  <c r="X42" i="41" s="1"/>
  <c r="X41" i="41" s="1"/>
  <c r="X40" i="41" s="1"/>
  <c r="X39" i="41" s="1"/>
  <c r="X38" i="41" s="1"/>
  <c r="X37" i="41" s="1"/>
  <c r="X36" i="41" s="1"/>
  <c r="X35" i="41" s="1"/>
  <c r="X34" i="41" s="1"/>
  <c r="X33" i="41" s="1"/>
  <c r="X32" i="41" s="1"/>
  <c r="X31" i="41" s="1"/>
  <c r="X30" i="41" s="1"/>
  <c r="X29" i="41" s="1"/>
  <c r="X28" i="41" s="1"/>
  <c r="X27" i="41" s="1"/>
  <c r="X26" i="41" s="1"/>
  <c r="X25" i="41" s="1"/>
  <c r="X24" i="41" s="1"/>
  <c r="X23" i="41" s="1"/>
  <c r="X22" i="41" s="1"/>
  <c r="X21" i="41" s="1"/>
  <c r="X20" i="41" s="1"/>
  <c r="X19" i="41" s="1"/>
  <c r="X18" i="41" s="1"/>
  <c r="X17" i="41" s="1"/>
  <c r="X16" i="41" s="1"/>
  <c r="X15" i="41" s="1"/>
  <c r="X14" i="41" s="1"/>
  <c r="K227" i="3"/>
  <c r="K221" i="41"/>
  <c r="J221" i="41" s="1"/>
  <c r="I225" i="3" s="1"/>
  <c r="M225" i="3" s="1"/>
  <c r="G221" i="41"/>
  <c r="H225" i="3" s="1"/>
  <c r="A225" i="3"/>
  <c r="H199" i="3"/>
  <c r="I198" i="3"/>
  <c r="M198" i="3" s="1"/>
  <c r="F199" i="3"/>
  <c r="G199" i="3"/>
  <c r="D198" i="3"/>
  <c r="E199" i="3"/>
  <c r="O195" i="3"/>
  <c r="U194" i="19"/>
  <c r="R195" i="19"/>
  <c r="U194" i="3"/>
  <c r="Q196" i="3"/>
  <c r="R195" i="3"/>
  <c r="D211" i="43" l="1"/>
  <c r="E211" i="43"/>
  <c r="O224" i="3"/>
  <c r="A213" i="19"/>
  <c r="R213" i="19"/>
  <c r="I222" i="41"/>
  <c r="L222" i="41" s="1"/>
  <c r="S210" i="43"/>
  <c r="T210" i="43" s="1"/>
  <c r="G210" i="43"/>
  <c r="G214" i="19" s="1"/>
  <c r="M209" i="43"/>
  <c r="C214" i="19"/>
  <c r="J210" i="43"/>
  <c r="I209" i="43"/>
  <c r="G213" i="19"/>
  <c r="I223" i="41"/>
  <c r="L223" i="41" s="1"/>
  <c r="G227" i="3"/>
  <c r="I226" i="3"/>
  <c r="M226" i="3" s="1"/>
  <c r="O225" i="3" s="1"/>
  <c r="E227" i="3"/>
  <c r="F227" i="3"/>
  <c r="D226" i="3"/>
  <c r="C227" i="3"/>
  <c r="L208" i="43"/>
  <c r="K208" i="43" s="1"/>
  <c r="I212" i="19" s="1"/>
  <c r="M212" i="19" s="1"/>
  <c r="O211" i="19" s="1"/>
  <c r="H208" i="43"/>
  <c r="F210" i="43"/>
  <c r="F214" i="19" s="1"/>
  <c r="A212" i="43"/>
  <c r="G211" i="43"/>
  <c r="C211" i="43"/>
  <c r="W211" i="43" s="1"/>
  <c r="K215" i="19" s="1"/>
  <c r="F211" i="43"/>
  <c r="F215" i="19" s="1"/>
  <c r="Q211" i="43"/>
  <c r="R211" i="43" s="1"/>
  <c r="K222" i="41"/>
  <c r="J222" i="41" s="1"/>
  <c r="G222" i="41"/>
  <c r="H226" i="3" s="1"/>
  <c r="H223" i="41"/>
  <c r="V20" i="41"/>
  <c r="A226" i="3"/>
  <c r="H200" i="3"/>
  <c r="I199" i="3"/>
  <c r="M199" i="3" s="1"/>
  <c r="F200" i="3"/>
  <c r="G200" i="3"/>
  <c r="D199" i="3"/>
  <c r="E200" i="3"/>
  <c r="O196" i="3"/>
  <c r="R196" i="19"/>
  <c r="U195" i="19"/>
  <c r="U195" i="3"/>
  <c r="Q197" i="3"/>
  <c r="R196" i="3"/>
  <c r="D212" i="43" l="1"/>
  <c r="E212" i="43"/>
  <c r="S213" i="19"/>
  <c r="U213" i="19"/>
  <c r="D214" i="19"/>
  <c r="R214" i="19"/>
  <c r="A214" i="19"/>
  <c r="C215" i="19"/>
  <c r="G215" i="19"/>
  <c r="L209" i="43"/>
  <c r="K209" i="43" s="1"/>
  <c r="I213" i="19" s="1"/>
  <c r="M213" i="19" s="1"/>
  <c r="O212" i="19" s="1"/>
  <c r="H209" i="43"/>
  <c r="S211" i="43"/>
  <c r="T211" i="43" s="1"/>
  <c r="J211" i="43" s="1"/>
  <c r="M211" i="43" s="1"/>
  <c r="E215" i="19"/>
  <c r="D227" i="3"/>
  <c r="I211" i="43"/>
  <c r="A213" i="43"/>
  <c r="E216" i="19"/>
  <c r="C212" i="43"/>
  <c r="W212" i="43" s="1"/>
  <c r="K216" i="19" s="1"/>
  <c r="F212" i="43"/>
  <c r="F216" i="19" s="1"/>
  <c r="G212" i="43"/>
  <c r="G216" i="19" s="1"/>
  <c r="M210" i="43"/>
  <c r="I210" i="43"/>
  <c r="K223" i="41"/>
  <c r="G223" i="41"/>
  <c r="H227" i="3" s="1"/>
  <c r="V19" i="41"/>
  <c r="C228" i="3"/>
  <c r="A227" i="3"/>
  <c r="H201" i="3"/>
  <c r="I200" i="3"/>
  <c r="F201" i="3"/>
  <c r="G201" i="3"/>
  <c r="D200" i="3"/>
  <c r="E201" i="3"/>
  <c r="O197" i="3"/>
  <c r="R197" i="19"/>
  <c r="U196" i="19"/>
  <c r="U196" i="3"/>
  <c r="Q198" i="3"/>
  <c r="R197" i="3"/>
  <c r="D213" i="43" l="1"/>
  <c r="E213" i="43"/>
  <c r="AK18" i="3"/>
  <c r="AK27" i="3"/>
  <c r="AK36" i="3"/>
  <c r="A215" i="19"/>
  <c r="R215" i="19"/>
  <c r="S214" i="19"/>
  <c r="U214" i="19"/>
  <c r="D215" i="19"/>
  <c r="C216" i="19"/>
  <c r="D216" i="19" s="1"/>
  <c r="Q212" i="43"/>
  <c r="R212" i="43" s="1"/>
  <c r="S212" i="43"/>
  <c r="T212" i="43" s="1"/>
  <c r="I212" i="43"/>
  <c r="H210" i="43"/>
  <c r="L210" i="43"/>
  <c r="K210" i="43" s="1"/>
  <c r="I214" i="19" s="1"/>
  <c r="M214" i="19" s="1"/>
  <c r="O213" i="19" s="1"/>
  <c r="A214" i="43"/>
  <c r="G213" i="43"/>
  <c r="G217" i="19" s="1"/>
  <c r="C213" i="43"/>
  <c r="F213" i="43"/>
  <c r="F217" i="19" s="1"/>
  <c r="H211" i="43"/>
  <c r="L211" i="43"/>
  <c r="K211" i="43" s="1"/>
  <c r="I215" i="19" s="1"/>
  <c r="M215" i="19" s="1"/>
  <c r="J223" i="41"/>
  <c r="I227" i="3" s="1"/>
  <c r="M227" i="3" s="1"/>
  <c r="N223" i="41"/>
  <c r="M200" i="3"/>
  <c r="V18" i="41"/>
  <c r="C229" i="3"/>
  <c r="A228" i="3"/>
  <c r="H202" i="3"/>
  <c r="I201" i="3"/>
  <c r="M201" i="3" s="1"/>
  <c r="F202" i="3"/>
  <c r="G202" i="3"/>
  <c r="D201" i="3"/>
  <c r="E202" i="3"/>
  <c r="R198" i="19"/>
  <c r="U197" i="19"/>
  <c r="O198" i="3"/>
  <c r="U197" i="3"/>
  <c r="Q199" i="3"/>
  <c r="Q200" i="3" s="1"/>
  <c r="R198" i="3"/>
  <c r="E214" i="43" l="1"/>
  <c r="D214" i="43"/>
  <c r="O214" i="19"/>
  <c r="O200" i="3"/>
  <c r="O226" i="3"/>
  <c r="O227" i="3"/>
  <c r="S215" i="19"/>
  <c r="U215" i="19"/>
  <c r="A216" i="19"/>
  <c r="R216" i="19"/>
  <c r="C217" i="19"/>
  <c r="D217" i="19" s="1"/>
  <c r="Q213" i="43"/>
  <c r="R213" i="43" s="1"/>
  <c r="J212" i="43"/>
  <c r="M212" i="43" s="1"/>
  <c r="W213" i="43"/>
  <c r="K217" i="19" s="1"/>
  <c r="S213" i="43"/>
  <c r="T213" i="43" s="1"/>
  <c r="Q201" i="3"/>
  <c r="R200" i="3"/>
  <c r="U200" i="3" s="1"/>
  <c r="E217" i="19"/>
  <c r="I213" i="43"/>
  <c r="L212" i="43"/>
  <c r="K212" i="43" s="1"/>
  <c r="I216" i="19" s="1"/>
  <c r="M216" i="19" s="1"/>
  <c r="O215" i="19" s="1"/>
  <c r="H212" i="43"/>
  <c r="A215" i="43"/>
  <c r="Q214" i="43"/>
  <c r="R214" i="43" s="1"/>
  <c r="C214" i="43"/>
  <c r="N222" i="41"/>
  <c r="O223" i="41"/>
  <c r="M223" i="41" s="1"/>
  <c r="J227" i="3" s="1"/>
  <c r="V17" i="41"/>
  <c r="C230" i="3"/>
  <c r="A229" i="3"/>
  <c r="H203" i="3"/>
  <c r="I202" i="3"/>
  <c r="M202" i="3" s="1"/>
  <c r="O201" i="3" s="1"/>
  <c r="F203" i="3"/>
  <c r="G203" i="3"/>
  <c r="D202" i="3"/>
  <c r="E203" i="3"/>
  <c r="R199" i="19"/>
  <c r="U198" i="19"/>
  <c r="U198" i="3"/>
  <c r="R199" i="3"/>
  <c r="E215" i="43" l="1"/>
  <c r="D215" i="43"/>
  <c r="C218" i="19"/>
  <c r="R218" i="19" s="1"/>
  <c r="S218" i="19" s="1"/>
  <c r="A217" i="19"/>
  <c r="R217" i="19"/>
  <c r="S216" i="19"/>
  <c r="U216" i="19"/>
  <c r="W214" i="43"/>
  <c r="K218" i="19" s="1"/>
  <c r="F214" i="43"/>
  <c r="F218" i="19" s="1"/>
  <c r="J213" i="43"/>
  <c r="M213" i="43" s="1"/>
  <c r="Q202" i="3"/>
  <c r="R201" i="3"/>
  <c r="S214" i="43"/>
  <c r="T214" i="43" s="1"/>
  <c r="J214" i="43" s="1"/>
  <c r="E218" i="19"/>
  <c r="D218" i="19"/>
  <c r="A218" i="19"/>
  <c r="G214" i="43"/>
  <c r="A216" i="43"/>
  <c r="S215" i="43"/>
  <c r="T215" i="43" s="1"/>
  <c r="C215" i="43"/>
  <c r="Q215" i="43"/>
  <c r="R215" i="43" s="1"/>
  <c r="J215" i="43" s="1"/>
  <c r="W215" i="43"/>
  <c r="K219" i="19" s="1"/>
  <c r="H213" i="43"/>
  <c r="L213" i="43"/>
  <c r="K213" i="43" s="1"/>
  <c r="I217" i="19" s="1"/>
  <c r="M217" i="19" s="1"/>
  <c r="O216" i="19" s="1"/>
  <c r="N221" i="41"/>
  <c r="O222" i="41"/>
  <c r="M222" i="41" s="1"/>
  <c r="J226" i="3" s="1"/>
  <c r="V16" i="41"/>
  <c r="C231" i="3"/>
  <c r="A230" i="3"/>
  <c r="H204" i="3"/>
  <c r="I203" i="3"/>
  <c r="M203" i="3" s="1"/>
  <c r="O202" i="3" s="1"/>
  <c r="F204" i="3"/>
  <c r="G204" i="3"/>
  <c r="D203" i="3"/>
  <c r="E204" i="3"/>
  <c r="U199" i="19"/>
  <c r="U199" i="3"/>
  <c r="O199" i="3"/>
  <c r="D216" i="43" l="1"/>
  <c r="E216" i="43"/>
  <c r="U218" i="19"/>
  <c r="C219" i="19"/>
  <c r="R219" i="19" s="1"/>
  <c r="S219" i="19" s="1"/>
  <c r="S217" i="19"/>
  <c r="U217" i="19"/>
  <c r="G215" i="43"/>
  <c r="G219" i="19" s="1"/>
  <c r="M214" i="43"/>
  <c r="G218" i="19"/>
  <c r="U201" i="3"/>
  <c r="Q203" i="3"/>
  <c r="R202" i="3"/>
  <c r="E219" i="19"/>
  <c r="F215" i="43"/>
  <c r="F219" i="19" s="1"/>
  <c r="A217" i="43"/>
  <c r="F216" i="43"/>
  <c r="F220" i="19" s="1"/>
  <c r="C216" i="43"/>
  <c r="W216" i="43" s="1"/>
  <c r="K220" i="19" s="1"/>
  <c r="G216" i="43"/>
  <c r="I214" i="43"/>
  <c r="N220" i="41"/>
  <c r="O221" i="41"/>
  <c r="M221" i="41" s="1"/>
  <c r="J225" i="3" s="1"/>
  <c r="V15" i="41"/>
  <c r="C232" i="3"/>
  <c r="A231" i="3"/>
  <c r="H205" i="3"/>
  <c r="I204" i="3"/>
  <c r="M204" i="3" s="1"/>
  <c r="O203" i="3" s="1"/>
  <c r="F205" i="3"/>
  <c r="G205" i="3"/>
  <c r="D204" i="3"/>
  <c r="E205" i="3"/>
  <c r="D219" i="19" l="1"/>
  <c r="A219" i="19"/>
  <c r="E217" i="43"/>
  <c r="D217" i="43"/>
  <c r="U219" i="19"/>
  <c r="G220" i="19"/>
  <c r="Q216" i="43"/>
  <c r="R216" i="43" s="1"/>
  <c r="C220" i="19"/>
  <c r="U202" i="3"/>
  <c r="Q204" i="3"/>
  <c r="R203" i="3"/>
  <c r="E220" i="19"/>
  <c r="I216" i="43"/>
  <c r="H214" i="43"/>
  <c r="L214" i="43"/>
  <c r="K214" i="43" s="1"/>
  <c r="I218" i="19" s="1"/>
  <c r="M218" i="19" s="1"/>
  <c r="O217" i="19" s="1"/>
  <c r="A218" i="43"/>
  <c r="Q217" i="43"/>
  <c r="R217" i="43" s="1"/>
  <c r="G217" i="43"/>
  <c r="G221" i="19" s="1"/>
  <c r="C217" i="43"/>
  <c r="W217" i="43" s="1"/>
  <c r="K221" i="19" s="1"/>
  <c r="S216" i="43"/>
  <c r="T216" i="43" s="1"/>
  <c r="J216" i="43" s="1"/>
  <c r="M216" i="43" s="1"/>
  <c r="M215" i="43"/>
  <c r="I215" i="43"/>
  <c r="N219" i="41"/>
  <c r="O220" i="41"/>
  <c r="M220" i="41" s="1"/>
  <c r="J224" i="3" s="1"/>
  <c r="V14" i="41"/>
  <c r="C233" i="3"/>
  <c r="A232" i="3"/>
  <c r="H206" i="3"/>
  <c r="I205" i="3"/>
  <c r="M205" i="3" s="1"/>
  <c r="O204" i="3" s="1"/>
  <c r="F206" i="3"/>
  <c r="G206" i="3"/>
  <c r="D205" i="3"/>
  <c r="E206" i="3"/>
  <c r="E218" i="43" l="1"/>
  <c r="D218" i="43"/>
  <c r="A220" i="19"/>
  <c r="R220" i="19"/>
  <c r="D220" i="19"/>
  <c r="C221" i="19"/>
  <c r="U203" i="3"/>
  <c r="Q205" i="3"/>
  <c r="R204" i="3"/>
  <c r="E221" i="19"/>
  <c r="A219" i="43"/>
  <c r="E222" i="19"/>
  <c r="C218" i="43"/>
  <c r="F218" i="43"/>
  <c r="F222" i="19" s="1"/>
  <c r="W218" i="43"/>
  <c r="K222" i="19" s="1"/>
  <c r="G218" i="43"/>
  <c r="G222" i="19" s="1"/>
  <c r="F217" i="43"/>
  <c r="F221" i="19" s="1"/>
  <c r="S217" i="43"/>
  <c r="T217" i="43" s="1"/>
  <c r="J217" i="43" s="1"/>
  <c r="H215" i="43"/>
  <c r="L215" i="43"/>
  <c r="K215" i="43" s="1"/>
  <c r="I219" i="19" s="1"/>
  <c r="M219" i="19" s="1"/>
  <c r="O218" i="19" s="1"/>
  <c r="L216" i="43"/>
  <c r="K216" i="43" s="1"/>
  <c r="I220" i="19" s="1"/>
  <c r="M220" i="19" s="1"/>
  <c r="H216" i="43"/>
  <c r="N218" i="41"/>
  <c r="O219" i="41"/>
  <c r="M219" i="41"/>
  <c r="J223" i="3" s="1"/>
  <c r="C234" i="3"/>
  <c r="A233" i="3"/>
  <c r="H207" i="3"/>
  <c r="I206" i="3"/>
  <c r="M206" i="3" s="1"/>
  <c r="O205" i="3" s="1"/>
  <c r="F207" i="3"/>
  <c r="G207" i="3"/>
  <c r="E207" i="3"/>
  <c r="D206" i="3"/>
  <c r="D219" i="43" l="1"/>
  <c r="E219" i="43"/>
  <c r="O219" i="19"/>
  <c r="S220" i="19"/>
  <c r="U220" i="19"/>
  <c r="D221" i="19"/>
  <c r="R221" i="19"/>
  <c r="A221" i="19"/>
  <c r="C222" i="19"/>
  <c r="R222" i="19" s="1"/>
  <c r="S218" i="43"/>
  <c r="T218" i="43" s="1"/>
  <c r="U204" i="3"/>
  <c r="Q206" i="3"/>
  <c r="R205" i="3"/>
  <c r="I218" i="43"/>
  <c r="A220" i="43"/>
  <c r="E223" i="19"/>
  <c r="C219" i="43"/>
  <c r="W219" i="43" s="1"/>
  <c r="K223" i="19" s="1"/>
  <c r="Q219" i="43"/>
  <c r="R219" i="43" s="1"/>
  <c r="Q218" i="43"/>
  <c r="R218" i="43" s="1"/>
  <c r="J218" i="43" s="1"/>
  <c r="M218" i="43" s="1"/>
  <c r="I217" i="43"/>
  <c r="M217" i="43"/>
  <c r="M218" i="41"/>
  <c r="J222" i="3" s="1"/>
  <c r="N217" i="41"/>
  <c r="O218" i="41"/>
  <c r="C235" i="3"/>
  <c r="A234" i="3"/>
  <c r="H208" i="3"/>
  <c r="I207" i="3"/>
  <c r="M207" i="3" s="1"/>
  <c r="O206" i="3" s="1"/>
  <c r="F208" i="3"/>
  <c r="G208" i="3"/>
  <c r="E208" i="3"/>
  <c r="D207" i="3"/>
  <c r="E220" i="43" l="1"/>
  <c r="D220" i="43"/>
  <c r="D222" i="19"/>
  <c r="A222" i="19"/>
  <c r="S221" i="19"/>
  <c r="U221" i="19"/>
  <c r="S222" i="19"/>
  <c r="U222" i="19"/>
  <c r="G219" i="43"/>
  <c r="G223" i="19" s="1"/>
  <c r="S219" i="43"/>
  <c r="T219" i="43" s="1"/>
  <c r="C223" i="19"/>
  <c r="J219" i="43"/>
  <c r="U205" i="3"/>
  <c r="Q207" i="3"/>
  <c r="R206" i="3"/>
  <c r="F219" i="43"/>
  <c r="F223" i="19" s="1"/>
  <c r="A221" i="43"/>
  <c r="F220" i="43"/>
  <c r="F224" i="19" s="1"/>
  <c r="C220" i="43"/>
  <c r="W220" i="43" s="1"/>
  <c r="K224" i="19" s="1"/>
  <c r="E224" i="19"/>
  <c r="H217" i="43"/>
  <c r="L217" i="43"/>
  <c r="K217" i="43" s="1"/>
  <c r="I221" i="19" s="1"/>
  <c r="M221" i="19" s="1"/>
  <c r="O220" i="19" s="1"/>
  <c r="H218" i="43"/>
  <c r="L218" i="43"/>
  <c r="K218" i="43" s="1"/>
  <c r="I222" i="19" s="1"/>
  <c r="M222" i="19" s="1"/>
  <c r="N216" i="41"/>
  <c r="O217" i="41"/>
  <c r="M217" i="41" s="1"/>
  <c r="J221" i="3" s="1"/>
  <c r="C236" i="3"/>
  <c r="A235" i="3"/>
  <c r="H209" i="3"/>
  <c r="I208" i="3"/>
  <c r="M208" i="3" s="1"/>
  <c r="O207" i="3" s="1"/>
  <c r="F209" i="3"/>
  <c r="G209" i="3"/>
  <c r="D208" i="3"/>
  <c r="E209" i="3"/>
  <c r="E221" i="43" l="1"/>
  <c r="D221" i="43"/>
  <c r="O221" i="19"/>
  <c r="A223" i="19"/>
  <c r="R223" i="19"/>
  <c r="D223" i="19"/>
  <c r="S220" i="43"/>
  <c r="T220" i="43" s="1"/>
  <c r="C224" i="19"/>
  <c r="G220" i="43"/>
  <c r="G224" i="19" s="1"/>
  <c r="U206" i="3"/>
  <c r="Q208" i="3"/>
  <c r="R207" i="3"/>
  <c r="I220" i="43"/>
  <c r="Q220" i="43"/>
  <c r="R220" i="43" s="1"/>
  <c r="J220" i="43" s="1"/>
  <c r="M220" i="43" s="1"/>
  <c r="A222" i="43"/>
  <c r="S221" i="43"/>
  <c r="T221" i="43" s="1"/>
  <c r="Q221" i="43"/>
  <c r="R221" i="43" s="1"/>
  <c r="C221" i="43"/>
  <c r="W221" i="43" s="1"/>
  <c r="K225" i="19" s="1"/>
  <c r="I219" i="43"/>
  <c r="M219" i="43"/>
  <c r="N215" i="41"/>
  <c r="M216" i="41"/>
  <c r="J220" i="3" s="1"/>
  <c r="O216" i="41"/>
  <c r="C237" i="3"/>
  <c r="A236" i="3"/>
  <c r="H210" i="3"/>
  <c r="I209" i="3"/>
  <c r="M209" i="3" s="1"/>
  <c r="O208" i="3" s="1"/>
  <c r="F210" i="3"/>
  <c r="G210" i="3"/>
  <c r="D209" i="3"/>
  <c r="E210" i="3"/>
  <c r="E222" i="43" l="1"/>
  <c r="D222" i="43"/>
  <c r="A224" i="19"/>
  <c r="R224" i="19"/>
  <c r="S223" i="19"/>
  <c r="U223" i="19"/>
  <c r="D224" i="19"/>
  <c r="J221" i="43"/>
  <c r="C225" i="19"/>
  <c r="U207" i="3"/>
  <c r="Q209" i="3"/>
  <c r="R208" i="3"/>
  <c r="G221" i="43"/>
  <c r="G225" i="19" s="1"/>
  <c r="E225" i="19"/>
  <c r="F221" i="43"/>
  <c r="F225" i="19" s="1"/>
  <c r="L219" i="43"/>
  <c r="K219" i="43" s="1"/>
  <c r="I223" i="19" s="1"/>
  <c r="M223" i="19" s="1"/>
  <c r="O222" i="19" s="1"/>
  <c r="H219" i="43"/>
  <c r="A223" i="43"/>
  <c r="Q222" i="43"/>
  <c r="R222" i="43" s="1"/>
  <c r="S222" i="43"/>
  <c r="T222" i="43" s="1"/>
  <c r="C222" i="43"/>
  <c r="W222" i="43" s="1"/>
  <c r="K226" i="19" s="1"/>
  <c r="H220" i="43"/>
  <c r="L220" i="43"/>
  <c r="K220" i="43" s="1"/>
  <c r="I224" i="19" s="1"/>
  <c r="M224" i="19" s="1"/>
  <c r="N214" i="41"/>
  <c r="O215" i="41"/>
  <c r="M215" i="41" s="1"/>
  <c r="J219" i="3" s="1"/>
  <c r="C238" i="3"/>
  <c r="A237" i="3"/>
  <c r="H211" i="3"/>
  <c r="I210" i="3"/>
  <c r="M210" i="3" s="1"/>
  <c r="O209" i="3" s="1"/>
  <c r="F211" i="3"/>
  <c r="G211" i="3"/>
  <c r="D210" i="3"/>
  <c r="E211" i="3"/>
  <c r="E223" i="43" l="1"/>
  <c r="D223" i="43"/>
  <c r="O223" i="19"/>
  <c r="A225" i="19"/>
  <c r="R225" i="19"/>
  <c r="S224" i="19"/>
  <c r="U224" i="19"/>
  <c r="D225" i="19"/>
  <c r="J222" i="43"/>
  <c r="C226" i="19"/>
  <c r="U208" i="3"/>
  <c r="Q210" i="3"/>
  <c r="R209" i="3"/>
  <c r="G222" i="43"/>
  <c r="G226" i="19" s="1"/>
  <c r="E226" i="19"/>
  <c r="F222" i="43"/>
  <c r="F226" i="19" s="1"/>
  <c r="E227" i="19"/>
  <c r="C223" i="43"/>
  <c r="W223" i="43" s="1"/>
  <c r="K227" i="19" s="1"/>
  <c r="F223" i="43"/>
  <c r="F227" i="19" s="1"/>
  <c r="A224" i="43"/>
  <c r="A225" i="43" s="1"/>
  <c r="A226" i="43" s="1"/>
  <c r="A227" i="43" s="1"/>
  <c r="A228" i="43" s="1"/>
  <c r="A229" i="43" s="1"/>
  <c r="A230" i="43" s="1"/>
  <c r="A231" i="43" s="1"/>
  <c r="A232" i="43" s="1"/>
  <c r="A233" i="43" s="1"/>
  <c r="A234" i="43" s="1"/>
  <c r="A235" i="43" s="1"/>
  <c r="A236" i="43" s="1"/>
  <c r="A237" i="43" s="1"/>
  <c r="A238" i="43" s="1"/>
  <c r="A239" i="43" s="1"/>
  <c r="A240" i="43" s="1"/>
  <c r="A241" i="43" s="1"/>
  <c r="A242" i="43" s="1"/>
  <c r="A243" i="43" s="1"/>
  <c r="A244" i="43" s="1"/>
  <c r="A245" i="43" s="1"/>
  <c r="A246" i="43" s="1"/>
  <c r="A247" i="43" s="1"/>
  <c r="A248" i="43" s="1"/>
  <c r="A249" i="43" s="1"/>
  <c r="A250" i="43" s="1"/>
  <c r="A251" i="43" s="1"/>
  <c r="A252" i="43" s="1"/>
  <c r="A253" i="43" s="1"/>
  <c r="A254" i="43" s="1"/>
  <c r="A255" i="43" s="1"/>
  <c r="A256" i="43" s="1"/>
  <c r="A257" i="43" s="1"/>
  <c r="A258" i="43" s="1"/>
  <c r="A259" i="43" s="1"/>
  <c r="A260" i="43" s="1"/>
  <c r="A261" i="43" s="1"/>
  <c r="A262" i="43" s="1"/>
  <c r="A263" i="43" s="1"/>
  <c r="A264" i="43" s="1"/>
  <c r="A265" i="43" s="1"/>
  <c r="A266" i="43" s="1"/>
  <c r="A267" i="43" s="1"/>
  <c r="A268" i="43" s="1"/>
  <c r="A269" i="43" s="1"/>
  <c r="A270" i="43" s="1"/>
  <c r="A271" i="43" s="1"/>
  <c r="A272" i="43" s="1"/>
  <c r="A273" i="43" s="1"/>
  <c r="A274" i="43" s="1"/>
  <c r="A275" i="43" s="1"/>
  <c r="A276" i="43" s="1"/>
  <c r="A277" i="43" s="1"/>
  <c r="A278" i="43" s="1"/>
  <c r="A279" i="43" s="1"/>
  <c r="A280" i="43" s="1"/>
  <c r="A281" i="43" s="1"/>
  <c r="A282" i="43" s="1"/>
  <c r="A283" i="43" s="1"/>
  <c r="A284" i="43" s="1"/>
  <c r="A285" i="43" s="1"/>
  <c r="A286" i="43" s="1"/>
  <c r="A287" i="43" s="1"/>
  <c r="A288" i="43" s="1"/>
  <c r="A289" i="43" s="1"/>
  <c r="A290" i="43" s="1"/>
  <c r="A291" i="43" s="1"/>
  <c r="A292" i="43" s="1"/>
  <c r="A293" i="43" s="1"/>
  <c r="A294" i="43" s="1"/>
  <c r="A295" i="43" s="1"/>
  <c r="A296" i="43" s="1"/>
  <c r="A297" i="43" s="1"/>
  <c r="A298" i="43" s="1"/>
  <c r="A299" i="43" s="1"/>
  <c r="A300" i="43" s="1"/>
  <c r="A301" i="43" s="1"/>
  <c r="A302" i="43" s="1"/>
  <c r="A303" i="43" s="1"/>
  <c r="A304" i="43" s="1"/>
  <c r="A305" i="43" s="1"/>
  <c r="A306" i="43" s="1"/>
  <c r="A307" i="43" s="1"/>
  <c r="A308" i="43" s="1"/>
  <c r="A309" i="43" s="1"/>
  <c r="A310" i="43" s="1"/>
  <c r="A311" i="43" s="1"/>
  <c r="A312" i="43" s="1"/>
  <c r="A313" i="43" s="1"/>
  <c r="A314" i="43" s="1"/>
  <c r="A315" i="43" s="1"/>
  <c r="A316" i="43" s="1"/>
  <c r="A317" i="43" s="1"/>
  <c r="A318" i="43" s="1"/>
  <c r="A319" i="43" s="1"/>
  <c r="A320" i="43" s="1"/>
  <c r="A321" i="43" s="1"/>
  <c r="A322" i="43" s="1"/>
  <c r="A323" i="43" s="1"/>
  <c r="A324" i="43" s="1"/>
  <c r="A325" i="43" s="1"/>
  <c r="A326" i="43" s="1"/>
  <c r="A327" i="43" s="1"/>
  <c r="A328" i="43" s="1"/>
  <c r="A329" i="43" s="1"/>
  <c r="A330" i="43" s="1"/>
  <c r="A331" i="43" s="1"/>
  <c r="A332" i="43" s="1"/>
  <c r="A333" i="43" s="1"/>
  <c r="A334" i="43" s="1"/>
  <c r="A335" i="43" s="1"/>
  <c r="A336" i="43" s="1"/>
  <c r="A337" i="43" s="1"/>
  <c r="A338" i="43" s="1"/>
  <c r="A339" i="43" s="1"/>
  <c r="A340" i="43" s="1"/>
  <c r="A341" i="43" s="1"/>
  <c r="A342" i="43" s="1"/>
  <c r="A343" i="43" s="1"/>
  <c r="A344" i="43" s="1"/>
  <c r="A345" i="43" s="1"/>
  <c r="A346" i="43" s="1"/>
  <c r="A347" i="43" s="1"/>
  <c r="A348" i="43" s="1"/>
  <c r="A349" i="43" s="1"/>
  <c r="A350" i="43" s="1"/>
  <c r="A351" i="43" s="1"/>
  <c r="A352" i="43" s="1"/>
  <c r="A353" i="43" s="1"/>
  <c r="A354" i="43" s="1"/>
  <c r="A355" i="43" s="1"/>
  <c r="A356" i="43" s="1"/>
  <c r="A357" i="43" s="1"/>
  <c r="A358" i="43" s="1"/>
  <c r="A359" i="43" s="1"/>
  <c r="A360" i="43" s="1"/>
  <c r="A361" i="43" s="1"/>
  <c r="A362" i="43" s="1"/>
  <c r="A363" i="43" s="1"/>
  <c r="A364" i="43" s="1"/>
  <c r="A365" i="43" s="1"/>
  <c r="A366" i="43" s="1"/>
  <c r="A367" i="43" s="1"/>
  <c r="A368" i="43" s="1"/>
  <c r="A369" i="43" s="1"/>
  <c r="A370" i="43" s="1"/>
  <c r="A371" i="43" s="1"/>
  <c r="A372" i="43" s="1"/>
  <c r="A373" i="43" s="1"/>
  <c r="A374" i="43" s="1"/>
  <c r="A375" i="43" s="1"/>
  <c r="A376" i="43" s="1"/>
  <c r="A377" i="43" s="1"/>
  <c r="A378" i="43" s="1"/>
  <c r="A379" i="43" s="1"/>
  <c r="A380" i="43" s="1"/>
  <c r="A381" i="43" s="1"/>
  <c r="A382" i="43" s="1"/>
  <c r="A383" i="43" s="1"/>
  <c r="A384" i="43" s="1"/>
  <c r="A385" i="43" s="1"/>
  <c r="A386" i="43" s="1"/>
  <c r="A387" i="43" s="1"/>
  <c r="A388" i="43" s="1"/>
  <c r="A389" i="43" s="1"/>
  <c r="A390" i="43" s="1"/>
  <c r="A391" i="43" s="1"/>
  <c r="A392" i="43" s="1"/>
  <c r="A393" i="43" s="1"/>
  <c r="A394" i="43" s="1"/>
  <c r="A395" i="43" s="1"/>
  <c r="A396" i="43" s="1"/>
  <c r="A397" i="43" s="1"/>
  <c r="A398" i="43" s="1"/>
  <c r="A399" i="43" s="1"/>
  <c r="A400" i="43" s="1"/>
  <c r="A401" i="43" s="1"/>
  <c r="A402" i="43" s="1"/>
  <c r="A403" i="43" s="1"/>
  <c r="A404" i="43" s="1"/>
  <c r="A405" i="43" s="1"/>
  <c r="A406" i="43" s="1"/>
  <c r="A407" i="43" s="1"/>
  <c r="A408" i="43" s="1"/>
  <c r="A409" i="43" s="1"/>
  <c r="A410" i="43" s="1"/>
  <c r="A411" i="43" s="1"/>
  <c r="A412" i="43" s="1"/>
  <c r="A413" i="43" s="1"/>
  <c r="A414" i="43" s="1"/>
  <c r="A415" i="43" s="1"/>
  <c r="A416" i="43" s="1"/>
  <c r="A417" i="43" s="1"/>
  <c r="A418" i="43" s="1"/>
  <c r="A419" i="43" s="1"/>
  <c r="A420" i="43" s="1"/>
  <c r="A421" i="43" s="1"/>
  <c r="A422" i="43" s="1"/>
  <c r="A423" i="43" s="1"/>
  <c r="A424" i="43" s="1"/>
  <c r="A425" i="43" s="1"/>
  <c r="A426" i="43" s="1"/>
  <c r="A427" i="43" s="1"/>
  <c r="A428" i="43" s="1"/>
  <c r="A429" i="43" s="1"/>
  <c r="A430" i="43" s="1"/>
  <c r="A431" i="43" s="1"/>
  <c r="A432" i="43" s="1"/>
  <c r="A433" i="43" s="1"/>
  <c r="A434" i="43" s="1"/>
  <c r="A435" i="43" s="1"/>
  <c r="A436" i="43" s="1"/>
  <c r="A437" i="43" s="1"/>
  <c r="A438" i="43" s="1"/>
  <c r="A439" i="43" s="1"/>
  <c r="A440" i="43" s="1"/>
  <c r="A441" i="43" s="1"/>
  <c r="A442" i="43" s="1"/>
  <c r="A443" i="43" s="1"/>
  <c r="A444" i="43" s="1"/>
  <c r="A445" i="43" s="1"/>
  <c r="A446" i="43" s="1"/>
  <c r="A447" i="43" s="1"/>
  <c r="A448" i="43" s="1"/>
  <c r="A449" i="43" s="1"/>
  <c r="A450" i="43" s="1"/>
  <c r="A451" i="43" s="1"/>
  <c r="A452" i="43" s="1"/>
  <c r="A453" i="43" s="1"/>
  <c r="A454" i="43" s="1"/>
  <c r="A455" i="43" s="1"/>
  <c r="A456" i="43" s="1"/>
  <c r="A457" i="43" s="1"/>
  <c r="A458" i="43" s="1"/>
  <c r="A459" i="43" s="1"/>
  <c r="A460" i="43" s="1"/>
  <c r="A461" i="43" s="1"/>
  <c r="A462" i="43" s="1"/>
  <c r="A463" i="43" s="1"/>
  <c r="A464" i="43" s="1"/>
  <c r="A465" i="43" s="1"/>
  <c r="A466" i="43" s="1"/>
  <c r="A467" i="43" s="1"/>
  <c r="A468" i="43" s="1"/>
  <c r="A469" i="43" s="1"/>
  <c r="A470" i="43" s="1"/>
  <c r="A471" i="43" s="1"/>
  <c r="A472" i="43" s="1"/>
  <c r="A473" i="43" s="1"/>
  <c r="A474" i="43" s="1"/>
  <c r="A475" i="43" s="1"/>
  <c r="A476" i="43" s="1"/>
  <c r="A477" i="43" s="1"/>
  <c r="A478" i="43" s="1"/>
  <c r="A479" i="43" s="1"/>
  <c r="A480" i="43" s="1"/>
  <c r="A481" i="43" s="1"/>
  <c r="A482" i="43" s="1"/>
  <c r="A483" i="43" s="1"/>
  <c r="A484" i="43" s="1"/>
  <c r="A485" i="43" s="1"/>
  <c r="A486" i="43" s="1"/>
  <c r="A487" i="43" s="1"/>
  <c r="A488" i="43" s="1"/>
  <c r="A489" i="43" s="1"/>
  <c r="A490" i="43" s="1"/>
  <c r="A491" i="43" s="1"/>
  <c r="A492" i="43" s="1"/>
  <c r="A493" i="43" s="1"/>
  <c r="A494" i="43" s="1"/>
  <c r="A495" i="43" s="1"/>
  <c r="A496" i="43" s="1"/>
  <c r="A497" i="43" s="1"/>
  <c r="A498" i="43" s="1"/>
  <c r="A499" i="43" s="1"/>
  <c r="A500" i="43" s="1"/>
  <c r="A501" i="43" s="1"/>
  <c r="A502" i="43" s="1"/>
  <c r="A503" i="43" s="1"/>
  <c r="A504" i="43" s="1"/>
  <c r="A505" i="43" s="1"/>
  <c r="A506" i="43" s="1"/>
  <c r="A507" i="43" s="1"/>
  <c r="A508" i="43" s="1"/>
  <c r="A509" i="43" s="1"/>
  <c r="A510" i="43" s="1"/>
  <c r="A511" i="43" s="1"/>
  <c r="A512" i="43" s="1"/>
  <c r="A513" i="43" s="1"/>
  <c r="A514" i="43" s="1"/>
  <c r="A515" i="43" s="1"/>
  <c r="A516" i="43" s="1"/>
  <c r="A517" i="43" s="1"/>
  <c r="A518" i="43" s="1"/>
  <c r="A519" i="43" s="1"/>
  <c r="A520" i="43" s="1"/>
  <c r="A521" i="43" s="1"/>
  <c r="A522" i="43" s="1"/>
  <c r="A523" i="43" s="1"/>
  <c r="A524" i="43" s="1"/>
  <c r="A525" i="43" s="1"/>
  <c r="A526" i="43" s="1"/>
  <c r="A527" i="43" s="1"/>
  <c r="A528" i="43" s="1"/>
  <c r="A529" i="43" s="1"/>
  <c r="A530" i="43" s="1"/>
  <c r="A531" i="43" s="1"/>
  <c r="A532" i="43" s="1"/>
  <c r="A533" i="43" s="1"/>
  <c r="A534" i="43" s="1"/>
  <c r="A535" i="43" s="1"/>
  <c r="A536" i="43" s="1"/>
  <c r="A537" i="43" s="1"/>
  <c r="A538" i="43" s="1"/>
  <c r="A539" i="43" s="1"/>
  <c r="A540" i="43" s="1"/>
  <c r="A541" i="43" s="1"/>
  <c r="A542" i="43" s="1"/>
  <c r="A543" i="43" s="1"/>
  <c r="A544" i="43" s="1"/>
  <c r="A545" i="43" s="1"/>
  <c r="A546" i="43" s="1"/>
  <c r="A547" i="43" s="1"/>
  <c r="A548" i="43" s="1"/>
  <c r="A549" i="43" s="1"/>
  <c r="A550" i="43" s="1"/>
  <c r="A551" i="43" s="1"/>
  <c r="A552" i="43" s="1"/>
  <c r="A553" i="43" s="1"/>
  <c r="A554" i="43" s="1"/>
  <c r="A555" i="43" s="1"/>
  <c r="A556" i="43" s="1"/>
  <c r="A557" i="43" s="1"/>
  <c r="A558" i="43" s="1"/>
  <c r="A559" i="43" s="1"/>
  <c r="A560" i="43" s="1"/>
  <c r="A561" i="43" s="1"/>
  <c r="A562" i="43" s="1"/>
  <c r="A563" i="43" s="1"/>
  <c r="A564" i="43" s="1"/>
  <c r="A565" i="43" s="1"/>
  <c r="A566" i="43" s="1"/>
  <c r="A567" i="43" s="1"/>
  <c r="A568" i="43" s="1"/>
  <c r="A569" i="43" s="1"/>
  <c r="A570" i="43" s="1"/>
  <c r="A571" i="43" s="1"/>
  <c r="A572" i="43" s="1"/>
  <c r="A573" i="43" s="1"/>
  <c r="A574" i="43" s="1"/>
  <c r="A575" i="43" s="1"/>
  <c r="A576" i="43" s="1"/>
  <c r="A577" i="43" s="1"/>
  <c r="A578" i="43" s="1"/>
  <c r="A579" i="43" s="1"/>
  <c r="A580" i="43" s="1"/>
  <c r="A581" i="43" s="1"/>
  <c r="A582" i="43" s="1"/>
  <c r="A583" i="43" s="1"/>
  <c r="A584" i="43" s="1"/>
  <c r="A585" i="43" s="1"/>
  <c r="A586" i="43" s="1"/>
  <c r="A587" i="43" s="1"/>
  <c r="A588" i="43" s="1"/>
  <c r="A589" i="43" s="1"/>
  <c r="A590" i="43" s="1"/>
  <c r="A591" i="43" s="1"/>
  <c r="A592" i="43" s="1"/>
  <c r="A593" i="43" s="1"/>
  <c r="A594" i="43" s="1"/>
  <c r="A595" i="43" s="1"/>
  <c r="A596" i="43" s="1"/>
  <c r="A597" i="43" s="1"/>
  <c r="A598" i="43" s="1"/>
  <c r="A599" i="43" s="1"/>
  <c r="A600" i="43" s="1"/>
  <c r="A601" i="43" s="1"/>
  <c r="A602" i="43" s="1"/>
  <c r="A603" i="43" s="1"/>
  <c r="A604" i="43" s="1"/>
  <c r="A605" i="43" s="1"/>
  <c r="A606" i="43" s="1"/>
  <c r="A607" i="43" s="1"/>
  <c r="A608" i="43" s="1"/>
  <c r="A609" i="43" s="1"/>
  <c r="A610" i="43" s="1"/>
  <c r="A611" i="43" s="1"/>
  <c r="A612" i="43" s="1"/>
  <c r="A613" i="43" s="1"/>
  <c r="A614" i="43" s="1"/>
  <c r="A615" i="43" s="1"/>
  <c r="A616" i="43" s="1"/>
  <c r="A617" i="43" s="1"/>
  <c r="A618" i="43" s="1"/>
  <c r="A619" i="43" s="1"/>
  <c r="A620" i="43" s="1"/>
  <c r="A621" i="43" s="1"/>
  <c r="A622" i="43" s="1"/>
  <c r="A623" i="43" s="1"/>
  <c r="A624" i="43" s="1"/>
  <c r="A625" i="43" s="1"/>
  <c r="A626" i="43" s="1"/>
  <c r="A627" i="43" s="1"/>
  <c r="A628" i="43" s="1"/>
  <c r="A629" i="43" s="1"/>
  <c r="A630" i="43" s="1"/>
  <c r="A631" i="43" s="1"/>
  <c r="A632" i="43" s="1"/>
  <c r="A633" i="43" s="1"/>
  <c r="A634" i="43" s="1"/>
  <c r="A635" i="43" s="1"/>
  <c r="A636" i="43" s="1"/>
  <c r="A637" i="43" s="1"/>
  <c r="A638" i="43" s="1"/>
  <c r="A639" i="43" s="1"/>
  <c r="A640" i="43" s="1"/>
  <c r="A641" i="43" s="1"/>
  <c r="A642" i="43" s="1"/>
  <c r="A643" i="43" s="1"/>
  <c r="A644" i="43" s="1"/>
  <c r="A645" i="43" s="1"/>
  <c r="A646" i="43" s="1"/>
  <c r="A647" i="43" s="1"/>
  <c r="A648" i="43" s="1"/>
  <c r="A649" i="43" s="1"/>
  <c r="A650" i="43" s="1"/>
  <c r="A651" i="43" s="1"/>
  <c r="A652" i="43" s="1"/>
  <c r="A653" i="43" s="1"/>
  <c r="A654" i="43" s="1"/>
  <c r="A655" i="43" s="1"/>
  <c r="A656" i="43" s="1"/>
  <c r="A657" i="43" s="1"/>
  <c r="A658" i="43" s="1"/>
  <c r="A659" i="43" s="1"/>
  <c r="A660" i="43" s="1"/>
  <c r="A661" i="43" s="1"/>
  <c r="A662" i="43" s="1"/>
  <c r="A663" i="43" s="1"/>
  <c r="A664" i="43" s="1"/>
  <c r="A665" i="43" s="1"/>
  <c r="A666" i="43" s="1"/>
  <c r="A667" i="43" s="1"/>
  <c r="A668" i="43" s="1"/>
  <c r="A669" i="43" s="1"/>
  <c r="A670" i="43" s="1"/>
  <c r="A671" i="43" s="1"/>
  <c r="A672" i="43" s="1"/>
  <c r="A673" i="43" s="1"/>
  <c r="A674" i="43" s="1"/>
  <c r="A675" i="43" s="1"/>
  <c r="A676" i="43" s="1"/>
  <c r="A677" i="43" s="1"/>
  <c r="A678" i="43" s="1"/>
  <c r="A679" i="43" s="1"/>
  <c r="A680" i="43" s="1"/>
  <c r="A681" i="43" s="1"/>
  <c r="A682" i="43" s="1"/>
  <c r="A683" i="43" s="1"/>
  <c r="A684" i="43" s="1"/>
  <c r="A685" i="43" s="1"/>
  <c r="A686" i="43" s="1"/>
  <c r="A687" i="43" s="1"/>
  <c r="A688" i="43" s="1"/>
  <c r="A689" i="43" s="1"/>
  <c r="A690" i="43" s="1"/>
  <c r="A691" i="43" s="1"/>
  <c r="A692" i="43" s="1"/>
  <c r="A693" i="43" s="1"/>
  <c r="A694" i="43" s="1"/>
  <c r="A695" i="43" s="1"/>
  <c r="A696" i="43" s="1"/>
  <c r="A697" i="43" s="1"/>
  <c r="A698" i="43" s="1"/>
  <c r="A699" i="43" s="1"/>
  <c r="A700" i="43" s="1"/>
  <c r="A701" i="43" s="1"/>
  <c r="A702" i="43" s="1"/>
  <c r="A703" i="43" s="1"/>
  <c r="A704" i="43" s="1"/>
  <c r="A705" i="43" s="1"/>
  <c r="A706" i="43" s="1"/>
  <c r="A707" i="43" s="1"/>
  <c r="A708" i="43" s="1"/>
  <c r="A709" i="43" s="1"/>
  <c r="A710" i="43" s="1"/>
  <c r="A711" i="43" s="1"/>
  <c r="A712" i="43" s="1"/>
  <c r="A713" i="43" s="1"/>
  <c r="A714" i="43" s="1"/>
  <c r="A715" i="43" s="1"/>
  <c r="A716" i="43" s="1"/>
  <c r="A717" i="43" s="1"/>
  <c r="A718" i="43" s="1"/>
  <c r="A719" i="43" s="1"/>
  <c r="A720" i="43" s="1"/>
  <c r="A721" i="43" s="1"/>
  <c r="A722" i="43" s="1"/>
  <c r="A723" i="43" s="1"/>
  <c r="A724" i="43" s="1"/>
  <c r="A725" i="43" s="1"/>
  <c r="A726" i="43" s="1"/>
  <c r="A727" i="43" s="1"/>
  <c r="A728" i="43" s="1"/>
  <c r="A729" i="43" s="1"/>
  <c r="A730" i="43" s="1"/>
  <c r="A731" i="43" s="1"/>
  <c r="A732" i="43" s="1"/>
  <c r="A733" i="43" s="1"/>
  <c r="A734" i="43" s="1"/>
  <c r="A735" i="43" s="1"/>
  <c r="A736" i="43" s="1"/>
  <c r="A737" i="43" s="1"/>
  <c r="A738" i="43" s="1"/>
  <c r="A739" i="43" s="1"/>
  <c r="A740" i="43" s="1"/>
  <c r="A741" i="43" s="1"/>
  <c r="A742" i="43" s="1"/>
  <c r="A743" i="43" s="1"/>
  <c r="A744" i="43" s="1"/>
  <c r="A745" i="43" s="1"/>
  <c r="A746" i="43" s="1"/>
  <c r="A747" i="43" s="1"/>
  <c r="A748" i="43" s="1"/>
  <c r="A749" i="43" s="1"/>
  <c r="A750" i="43" s="1"/>
  <c r="A751" i="43" s="1"/>
  <c r="A752" i="43" s="1"/>
  <c r="A753" i="43" s="1"/>
  <c r="A754" i="43" s="1"/>
  <c r="A755" i="43" s="1"/>
  <c r="A756" i="43" s="1"/>
  <c r="A757" i="43" s="1"/>
  <c r="A758" i="43" s="1"/>
  <c r="A759" i="43" s="1"/>
  <c r="A760" i="43" s="1"/>
  <c r="A761" i="43" s="1"/>
  <c r="A762" i="43" s="1"/>
  <c r="A763" i="43" s="1"/>
  <c r="A764" i="43" s="1"/>
  <c r="A765" i="43" s="1"/>
  <c r="A766" i="43" s="1"/>
  <c r="A767" i="43" s="1"/>
  <c r="A768" i="43" s="1"/>
  <c r="A769" i="43" s="1"/>
  <c r="A770" i="43" s="1"/>
  <c r="A771" i="43" s="1"/>
  <c r="A772" i="43" s="1"/>
  <c r="A773" i="43" s="1"/>
  <c r="A774" i="43" s="1"/>
  <c r="A775" i="43" s="1"/>
  <c r="A776" i="43" s="1"/>
  <c r="A777" i="43" s="1"/>
  <c r="A778" i="43" s="1"/>
  <c r="A779" i="43" s="1"/>
  <c r="A780" i="43" s="1"/>
  <c r="A781" i="43" s="1"/>
  <c r="A782" i="43" s="1"/>
  <c r="A783" i="43" s="1"/>
  <c r="A784" i="43" s="1"/>
  <c r="A785" i="43" s="1"/>
  <c r="A786" i="43" s="1"/>
  <c r="A787" i="43" s="1"/>
  <c r="A788" i="43" s="1"/>
  <c r="A789" i="43" s="1"/>
  <c r="A790" i="43" s="1"/>
  <c r="A791" i="43" s="1"/>
  <c r="A792" i="43" s="1"/>
  <c r="A793" i="43" s="1"/>
  <c r="A794" i="43" s="1"/>
  <c r="A795" i="43" s="1"/>
  <c r="A796" i="43" s="1"/>
  <c r="A797" i="43" s="1"/>
  <c r="A798" i="43" s="1"/>
  <c r="A799" i="43" s="1"/>
  <c r="A800" i="43" s="1"/>
  <c r="A801" i="43" s="1"/>
  <c r="A802" i="43" s="1"/>
  <c r="A803" i="43" s="1"/>
  <c r="A804" i="43" s="1"/>
  <c r="A805" i="43" s="1"/>
  <c r="A806" i="43" s="1"/>
  <c r="A807" i="43" s="1"/>
  <c r="A808" i="43" s="1"/>
  <c r="A809" i="43" s="1"/>
  <c r="A810" i="43" s="1"/>
  <c r="A811" i="43" s="1"/>
  <c r="A812" i="43" s="1"/>
  <c r="A813" i="43" s="1"/>
  <c r="A814" i="43" s="1"/>
  <c r="A815" i="43" s="1"/>
  <c r="A816" i="43" s="1"/>
  <c r="A817" i="43" s="1"/>
  <c r="A818" i="43" s="1"/>
  <c r="A819" i="43" s="1"/>
  <c r="A820" i="43" s="1"/>
  <c r="A821" i="43" s="1"/>
  <c r="A822" i="43" s="1"/>
  <c r="A823" i="43" s="1"/>
  <c r="A824" i="43" s="1"/>
  <c r="A825" i="43" s="1"/>
  <c r="A826" i="43" s="1"/>
  <c r="A827" i="43" s="1"/>
  <c r="A828" i="43" s="1"/>
  <c r="A829" i="43" s="1"/>
  <c r="A830" i="43" s="1"/>
  <c r="A831" i="43" s="1"/>
  <c r="A832" i="43" s="1"/>
  <c r="A833" i="43" s="1"/>
  <c r="A834" i="43" s="1"/>
  <c r="A835" i="43" s="1"/>
  <c r="A836" i="43" s="1"/>
  <c r="A837" i="43" s="1"/>
  <c r="A838" i="43" s="1"/>
  <c r="A839" i="43" s="1"/>
  <c r="A840" i="43" s="1"/>
  <c r="A841" i="43" s="1"/>
  <c r="A842" i="43" s="1"/>
  <c r="A843" i="43" s="1"/>
  <c r="A844" i="43" s="1"/>
  <c r="A845" i="43" s="1"/>
  <c r="A846" i="43" s="1"/>
  <c r="A847" i="43" s="1"/>
  <c r="A848" i="43" s="1"/>
  <c r="A849" i="43" s="1"/>
  <c r="A850" i="43" s="1"/>
  <c r="A851" i="43" s="1"/>
  <c r="A852" i="43" s="1"/>
  <c r="A853" i="43" s="1"/>
  <c r="A854" i="43" s="1"/>
  <c r="A855" i="43" s="1"/>
  <c r="A856" i="43" s="1"/>
  <c r="A857" i="43" s="1"/>
  <c r="A858" i="43" s="1"/>
  <c r="A859" i="43" s="1"/>
  <c r="A860" i="43" s="1"/>
  <c r="A861" i="43" s="1"/>
  <c r="A862" i="43" s="1"/>
  <c r="A863" i="43" s="1"/>
  <c r="A864" i="43" s="1"/>
  <c r="A865" i="43" s="1"/>
  <c r="A866" i="43" s="1"/>
  <c r="A867" i="43" s="1"/>
  <c r="A868" i="43" s="1"/>
  <c r="A869" i="43" s="1"/>
  <c r="A870" i="43" s="1"/>
  <c r="A871" i="43" s="1"/>
  <c r="A872" i="43" s="1"/>
  <c r="A873" i="43" s="1"/>
  <c r="A874" i="43" s="1"/>
  <c r="A875" i="43" s="1"/>
  <c r="A876" i="43" s="1"/>
  <c r="A877" i="43" s="1"/>
  <c r="A878" i="43" s="1"/>
  <c r="A879" i="43" s="1"/>
  <c r="A880" i="43" s="1"/>
  <c r="A881" i="43" s="1"/>
  <c r="A882" i="43" s="1"/>
  <c r="A883" i="43" s="1"/>
  <c r="A884" i="43" s="1"/>
  <c r="A885" i="43" s="1"/>
  <c r="A886" i="43" s="1"/>
  <c r="A887" i="43" s="1"/>
  <c r="A888" i="43" s="1"/>
  <c r="A889" i="43" s="1"/>
  <c r="A890" i="43" s="1"/>
  <c r="A891" i="43" s="1"/>
  <c r="A892" i="43" s="1"/>
  <c r="A893" i="43" s="1"/>
  <c r="A894" i="43" s="1"/>
  <c r="A895" i="43" s="1"/>
  <c r="A896" i="43" s="1"/>
  <c r="A897" i="43" s="1"/>
  <c r="A898" i="43" s="1"/>
  <c r="A899" i="43" s="1"/>
  <c r="A900" i="43" s="1"/>
  <c r="A901" i="43" s="1"/>
  <c r="A902" i="43" s="1"/>
  <c r="A903" i="43" s="1"/>
  <c r="A904" i="43" s="1"/>
  <c r="A905" i="43" s="1"/>
  <c r="A906" i="43" s="1"/>
  <c r="A907" i="43" s="1"/>
  <c r="A908" i="43" s="1"/>
  <c r="A909" i="43" s="1"/>
  <c r="A910" i="43" s="1"/>
  <c r="A911" i="43" s="1"/>
  <c r="A912" i="43" s="1"/>
  <c r="A913" i="43" s="1"/>
  <c r="A914" i="43" s="1"/>
  <c r="A915" i="43" s="1"/>
  <c r="A916" i="43" s="1"/>
  <c r="A917" i="43" s="1"/>
  <c r="A918" i="43" s="1"/>
  <c r="A919" i="43" s="1"/>
  <c r="A920" i="43" s="1"/>
  <c r="A921" i="43" s="1"/>
  <c r="A922" i="43" s="1"/>
  <c r="A923" i="43" s="1"/>
  <c r="A924" i="43" s="1"/>
  <c r="A925" i="43" s="1"/>
  <c r="A926" i="43" s="1"/>
  <c r="A927" i="43" s="1"/>
  <c r="A928" i="43" s="1"/>
  <c r="A929" i="43" s="1"/>
  <c r="A930" i="43" s="1"/>
  <c r="A931" i="43" s="1"/>
  <c r="A932" i="43" s="1"/>
  <c r="A933" i="43" s="1"/>
  <c r="A934" i="43" s="1"/>
  <c r="A935" i="43" s="1"/>
  <c r="A936" i="43" s="1"/>
  <c r="A937" i="43" s="1"/>
  <c r="A938" i="43" s="1"/>
  <c r="A939" i="43" s="1"/>
  <c r="A940" i="43" s="1"/>
  <c r="A941" i="43" s="1"/>
  <c r="A942" i="43" s="1"/>
  <c r="A943" i="43" s="1"/>
  <c r="A944" i="43" s="1"/>
  <c r="A945" i="43" s="1"/>
  <c r="A946" i="43" s="1"/>
  <c r="A947" i="43" s="1"/>
  <c r="A948" i="43" s="1"/>
  <c r="A949" i="43" s="1"/>
  <c r="A950" i="43" s="1"/>
  <c r="A951" i="43" s="1"/>
  <c r="A952" i="43" s="1"/>
  <c r="A953" i="43" s="1"/>
  <c r="A954" i="43" s="1"/>
  <c r="A955" i="43" s="1"/>
  <c r="A956" i="43" s="1"/>
  <c r="A957" i="43" s="1"/>
  <c r="A958" i="43" s="1"/>
  <c r="A959" i="43" s="1"/>
  <c r="A960" i="43" s="1"/>
  <c r="A961" i="43" s="1"/>
  <c r="A962" i="43" s="1"/>
  <c r="A963" i="43" s="1"/>
  <c r="A964" i="43" s="1"/>
  <c r="A965" i="43" s="1"/>
  <c r="A966" i="43" s="1"/>
  <c r="A967" i="43" s="1"/>
  <c r="A968" i="43" s="1"/>
  <c r="A969" i="43" s="1"/>
  <c r="A970" i="43" s="1"/>
  <c r="A971" i="43" s="1"/>
  <c r="A972" i="43" s="1"/>
  <c r="A973" i="43" s="1"/>
  <c r="A974" i="43" s="1"/>
  <c r="A975" i="43" s="1"/>
  <c r="A976" i="43" s="1"/>
  <c r="A977" i="43" s="1"/>
  <c r="A978" i="43" s="1"/>
  <c r="A979" i="43" s="1"/>
  <c r="A980" i="43" s="1"/>
  <c r="A981" i="43" s="1"/>
  <c r="A982" i="43" s="1"/>
  <c r="A983" i="43" s="1"/>
  <c r="A984" i="43" s="1"/>
  <c r="A985" i="43" s="1"/>
  <c r="A986" i="43" s="1"/>
  <c r="A987" i="43" s="1"/>
  <c r="A988" i="43" s="1"/>
  <c r="A989" i="43" s="1"/>
  <c r="A990" i="43" s="1"/>
  <c r="A991" i="43" s="1"/>
  <c r="A992" i="43" s="1"/>
  <c r="A993" i="43" s="1"/>
  <c r="A994" i="43" s="1"/>
  <c r="A995" i="43" s="1"/>
  <c r="A996" i="43" s="1"/>
  <c r="A997" i="43" s="1"/>
  <c r="A998" i="43" s="1"/>
  <c r="A999" i="43" s="1"/>
  <c r="A1000" i="43" s="1"/>
  <c r="A1001" i="43" s="1"/>
  <c r="A1002" i="43" s="1"/>
  <c r="M221" i="43"/>
  <c r="I221" i="43"/>
  <c r="N213" i="41"/>
  <c r="O214" i="41"/>
  <c r="M214" i="41" s="1"/>
  <c r="J218" i="3" s="1"/>
  <c r="C239" i="3"/>
  <c r="A238" i="3"/>
  <c r="H212" i="3"/>
  <c r="I211" i="3"/>
  <c r="M211" i="3" s="1"/>
  <c r="O210" i="3" s="1"/>
  <c r="F212" i="3"/>
  <c r="G212" i="3"/>
  <c r="D211" i="3"/>
  <c r="E212" i="3"/>
  <c r="A226" i="19" l="1"/>
  <c r="R226" i="19"/>
  <c r="S225" i="19"/>
  <c r="U225" i="19"/>
  <c r="D226" i="19"/>
  <c r="G223" i="43"/>
  <c r="G227" i="19" s="1"/>
  <c r="S223" i="43"/>
  <c r="T223" i="43" s="1"/>
  <c r="C227" i="19"/>
  <c r="Q223" i="43"/>
  <c r="R223" i="43" s="1"/>
  <c r="J223" i="43" s="1"/>
  <c r="M223" i="43" s="1"/>
  <c r="U209" i="3"/>
  <c r="Q211" i="3"/>
  <c r="R210" i="3"/>
  <c r="L221" i="43"/>
  <c r="K221" i="43" s="1"/>
  <c r="I225" i="19" s="1"/>
  <c r="M225" i="19" s="1"/>
  <c r="O224" i="19" s="1"/>
  <c r="H221" i="43"/>
  <c r="I222" i="43"/>
  <c r="M222" i="43"/>
  <c r="N212" i="41"/>
  <c r="O213" i="41"/>
  <c r="M213" i="41" s="1"/>
  <c r="J217" i="3" s="1"/>
  <c r="C240" i="3"/>
  <c r="A239" i="3"/>
  <c r="H213" i="3"/>
  <c r="I212" i="3"/>
  <c r="M212" i="3" s="1"/>
  <c r="O211" i="3" s="1"/>
  <c r="F213" i="3"/>
  <c r="G213" i="3"/>
  <c r="D212" i="3"/>
  <c r="E213" i="3"/>
  <c r="A227" i="19" l="1"/>
  <c r="R227" i="19"/>
  <c r="S226" i="19"/>
  <c r="U226" i="19"/>
  <c r="I223" i="43"/>
  <c r="D227" i="19"/>
  <c r="V223" i="43"/>
  <c r="V222" i="43" s="1"/>
  <c r="V221" i="43" s="1"/>
  <c r="V220" i="43" s="1"/>
  <c r="V219" i="43" s="1"/>
  <c r="V218" i="43" s="1"/>
  <c r="V217" i="43" s="1"/>
  <c r="V216" i="43" s="1"/>
  <c r="V215" i="43" s="1"/>
  <c r="V214" i="43" s="1"/>
  <c r="V213" i="43" s="1"/>
  <c r="V212" i="43" s="1"/>
  <c r="V211" i="43" s="1"/>
  <c r="V210" i="43" s="1"/>
  <c r="V209" i="43" s="1"/>
  <c r="V208" i="43" s="1"/>
  <c r="V207" i="43" s="1"/>
  <c r="V206" i="43" s="1"/>
  <c r="V205" i="43" s="1"/>
  <c r="V204" i="43" s="1"/>
  <c r="V203" i="43" s="1"/>
  <c r="V202" i="43" s="1"/>
  <c r="V201" i="43" s="1"/>
  <c r="V200" i="43" s="1"/>
  <c r="V199" i="43" s="1"/>
  <c r="V198" i="43" s="1"/>
  <c r="V197" i="43" s="1"/>
  <c r="V196" i="43" s="1"/>
  <c r="V195" i="43" s="1"/>
  <c r="V194" i="43" s="1"/>
  <c r="V193" i="43" s="1"/>
  <c r="V192" i="43" s="1"/>
  <c r="V191" i="43" s="1"/>
  <c r="V190" i="43" s="1"/>
  <c r="V189" i="43" s="1"/>
  <c r="V188" i="43" s="1"/>
  <c r="V187" i="43" s="1"/>
  <c r="V186" i="43" s="1"/>
  <c r="V185" i="43" s="1"/>
  <c r="V184" i="43" s="1"/>
  <c r="V183" i="43" s="1"/>
  <c r="V182" i="43" s="1"/>
  <c r="V181" i="43" s="1"/>
  <c r="V180" i="43" s="1"/>
  <c r="V179" i="43" s="1"/>
  <c r="V178" i="43" s="1"/>
  <c r="V177" i="43" s="1"/>
  <c r="V176" i="43" s="1"/>
  <c r="V175" i="43" s="1"/>
  <c r="V174" i="43" s="1"/>
  <c r="V173" i="43" s="1"/>
  <c r="V172" i="43" s="1"/>
  <c r="V171" i="43" s="1"/>
  <c r="V170" i="43" s="1"/>
  <c r="V169" i="43" s="1"/>
  <c r="V168" i="43" s="1"/>
  <c r="V167" i="43" s="1"/>
  <c r="V166" i="43" s="1"/>
  <c r="V165" i="43" s="1"/>
  <c r="V164" i="43" s="1"/>
  <c r="V163" i="43" s="1"/>
  <c r="V162" i="43" s="1"/>
  <c r="V161" i="43" s="1"/>
  <c r="V160" i="43" s="1"/>
  <c r="V159" i="43" s="1"/>
  <c r="V158" i="43" s="1"/>
  <c r="V157" i="43" s="1"/>
  <c r="V156" i="43" s="1"/>
  <c r="V155" i="43" s="1"/>
  <c r="V154" i="43" s="1"/>
  <c r="V153" i="43" s="1"/>
  <c r="V152" i="43" s="1"/>
  <c r="V151" i="43" s="1"/>
  <c r="V150" i="43" s="1"/>
  <c r="V149" i="43" s="1"/>
  <c r="V148" i="43" s="1"/>
  <c r="V147" i="43" s="1"/>
  <c r="V146" i="43" s="1"/>
  <c r="V145" i="43" s="1"/>
  <c r="V144" i="43" s="1"/>
  <c r="V143" i="43" s="1"/>
  <c r="V142" i="43" s="1"/>
  <c r="V141" i="43" s="1"/>
  <c r="V140" i="43" s="1"/>
  <c r="V139" i="43" s="1"/>
  <c r="V138" i="43" s="1"/>
  <c r="V137" i="43" s="1"/>
  <c r="V136" i="43" s="1"/>
  <c r="V135" i="43" s="1"/>
  <c r="V134" i="43" s="1"/>
  <c r="V133" i="43" s="1"/>
  <c r="V132" i="43" s="1"/>
  <c r="V131" i="43" s="1"/>
  <c r="V130" i="43" s="1"/>
  <c r="V129" i="43" s="1"/>
  <c r="V128" i="43" s="1"/>
  <c r="V127" i="43" s="1"/>
  <c r="V126" i="43" s="1"/>
  <c r="V125" i="43" s="1"/>
  <c r="V124" i="43" s="1"/>
  <c r="V123" i="43" s="1"/>
  <c r="V122" i="43" s="1"/>
  <c r="V121" i="43" s="1"/>
  <c r="V120" i="43" s="1"/>
  <c r="V119" i="43" s="1"/>
  <c r="V118" i="43" s="1"/>
  <c r="V117" i="43" s="1"/>
  <c r="V116" i="43" s="1"/>
  <c r="V115" i="43" s="1"/>
  <c r="V114" i="43" s="1"/>
  <c r="V113" i="43" s="1"/>
  <c r="V112" i="43" s="1"/>
  <c r="V111" i="43" s="1"/>
  <c r="V110" i="43" s="1"/>
  <c r="V109" i="43" s="1"/>
  <c r="V108" i="43" s="1"/>
  <c r="V107" i="43" s="1"/>
  <c r="V106" i="43" s="1"/>
  <c r="V105" i="43" s="1"/>
  <c r="V104" i="43" s="1"/>
  <c r="V103" i="43" s="1"/>
  <c r="V102" i="43" s="1"/>
  <c r="V101" i="43" s="1"/>
  <c r="V100" i="43" s="1"/>
  <c r="V99" i="43" s="1"/>
  <c r="V98" i="43" s="1"/>
  <c r="V97" i="43" s="1"/>
  <c r="V96" i="43" s="1"/>
  <c r="V95" i="43" s="1"/>
  <c r="V94" i="43" s="1"/>
  <c r="V93" i="43" s="1"/>
  <c r="V92" i="43" s="1"/>
  <c r="V91" i="43" s="1"/>
  <c r="V90" i="43" s="1"/>
  <c r="V89" i="43" s="1"/>
  <c r="V88" i="43" s="1"/>
  <c r="V87" i="43" s="1"/>
  <c r="V86" i="43" s="1"/>
  <c r="V85" i="43" s="1"/>
  <c r="V84" i="43" s="1"/>
  <c r="V83" i="43" s="1"/>
  <c r="V82" i="43" s="1"/>
  <c r="V81" i="43" s="1"/>
  <c r="V80" i="43" s="1"/>
  <c r="V79" i="43" s="1"/>
  <c r="V78" i="43" s="1"/>
  <c r="V77" i="43" s="1"/>
  <c r="V76" i="43" s="1"/>
  <c r="V75" i="43" s="1"/>
  <c r="V74" i="43" s="1"/>
  <c r="V73" i="43" s="1"/>
  <c r="V72" i="43" s="1"/>
  <c r="V71" i="43" s="1"/>
  <c r="V70" i="43" s="1"/>
  <c r="V69" i="43" s="1"/>
  <c r="V68" i="43" s="1"/>
  <c r="V67" i="43" s="1"/>
  <c r="V66" i="43" s="1"/>
  <c r="V65" i="43" s="1"/>
  <c r="V64" i="43" s="1"/>
  <c r="V63" i="43" s="1"/>
  <c r="V62" i="43" s="1"/>
  <c r="V61" i="43" s="1"/>
  <c r="V60" i="43" s="1"/>
  <c r="V59" i="43" s="1"/>
  <c r="V58" i="43" s="1"/>
  <c r="V57" i="43" s="1"/>
  <c r="V56" i="43" s="1"/>
  <c r="V55" i="43" s="1"/>
  <c r="V54" i="43" s="1"/>
  <c r="V53" i="43" s="1"/>
  <c r="V52" i="43" s="1"/>
  <c r="V51" i="43" s="1"/>
  <c r="V50" i="43" s="1"/>
  <c r="V49" i="43" s="1"/>
  <c r="V48" i="43" s="1"/>
  <c r="V47" i="43" s="1"/>
  <c r="V46" i="43" s="1"/>
  <c r="V45" i="43" s="1"/>
  <c r="V44" i="43" s="1"/>
  <c r="V43" i="43" s="1"/>
  <c r="V42" i="43" s="1"/>
  <c r="V41" i="43" s="1"/>
  <c r="V40" i="43" s="1"/>
  <c r="V39" i="43" s="1"/>
  <c r="V38" i="43" s="1"/>
  <c r="V37" i="43" s="1"/>
  <c r="V36" i="43" s="1"/>
  <c r="V35" i="43" s="1"/>
  <c r="V34" i="43" s="1"/>
  <c r="V33" i="43" s="1"/>
  <c r="V32" i="43" s="1"/>
  <c r="V31" i="43" s="1"/>
  <c r="V30" i="43" s="1"/>
  <c r="V29" i="43" s="1"/>
  <c r="V28" i="43" s="1"/>
  <c r="V27" i="43" s="1"/>
  <c r="V26" i="43" s="1"/>
  <c r="V25" i="43" s="1"/>
  <c r="V24" i="43" s="1"/>
  <c r="V23" i="43" s="1"/>
  <c r="V22" i="43" s="1"/>
  <c r="V21" i="43" s="1"/>
  <c r="V20" i="43" s="1"/>
  <c r="V19" i="43" s="1"/>
  <c r="V18" i="43" s="1"/>
  <c r="V17" i="43" s="1"/>
  <c r="V16" i="43" s="1"/>
  <c r="V15" i="43" s="1"/>
  <c r="V14" i="43" s="1"/>
  <c r="U223" i="43"/>
  <c r="U222" i="43" s="1"/>
  <c r="U221" i="43" s="1"/>
  <c r="U220" i="43" s="1"/>
  <c r="U219" i="43" s="1"/>
  <c r="U218" i="43" s="1"/>
  <c r="U217" i="43" s="1"/>
  <c r="U216" i="43" s="1"/>
  <c r="U215" i="43" s="1"/>
  <c r="U214" i="43" s="1"/>
  <c r="U213" i="43" s="1"/>
  <c r="U212" i="43" s="1"/>
  <c r="U211" i="43" s="1"/>
  <c r="U210" i="43" s="1"/>
  <c r="U209" i="43" s="1"/>
  <c r="U208" i="43" s="1"/>
  <c r="U207" i="43" s="1"/>
  <c r="U206" i="43" s="1"/>
  <c r="U205" i="43" s="1"/>
  <c r="U204" i="43" s="1"/>
  <c r="U203" i="43" s="1"/>
  <c r="U202" i="43" s="1"/>
  <c r="U201" i="43" s="1"/>
  <c r="U200" i="43" s="1"/>
  <c r="U199" i="43" s="1"/>
  <c r="U198" i="43" s="1"/>
  <c r="U197" i="43" s="1"/>
  <c r="U196" i="43" s="1"/>
  <c r="U195" i="43" s="1"/>
  <c r="U194" i="43" s="1"/>
  <c r="U193" i="43" s="1"/>
  <c r="U192" i="43" s="1"/>
  <c r="U191" i="43" s="1"/>
  <c r="U190" i="43" s="1"/>
  <c r="U189" i="43" s="1"/>
  <c r="U188" i="43" s="1"/>
  <c r="U187" i="43" s="1"/>
  <c r="U186" i="43" s="1"/>
  <c r="U185" i="43" s="1"/>
  <c r="U184" i="43" s="1"/>
  <c r="U183" i="43" s="1"/>
  <c r="U182" i="43" s="1"/>
  <c r="U181" i="43" s="1"/>
  <c r="U180" i="43" s="1"/>
  <c r="U179" i="43" s="1"/>
  <c r="U178" i="43" s="1"/>
  <c r="U177" i="43" s="1"/>
  <c r="U176" i="43" s="1"/>
  <c r="U175" i="43" s="1"/>
  <c r="U174" i="43" s="1"/>
  <c r="U173" i="43" s="1"/>
  <c r="U172" i="43" s="1"/>
  <c r="U171" i="43" s="1"/>
  <c r="U170" i="43" s="1"/>
  <c r="U169" i="43" s="1"/>
  <c r="U168" i="43" s="1"/>
  <c r="U167" i="43" s="1"/>
  <c r="U166" i="43" s="1"/>
  <c r="U165" i="43" s="1"/>
  <c r="U164" i="43" s="1"/>
  <c r="U163" i="43" s="1"/>
  <c r="U162" i="43" s="1"/>
  <c r="U161" i="43" s="1"/>
  <c r="U160" i="43" s="1"/>
  <c r="U159" i="43" s="1"/>
  <c r="U158" i="43" s="1"/>
  <c r="U157" i="43" s="1"/>
  <c r="U156" i="43" s="1"/>
  <c r="U155" i="43" s="1"/>
  <c r="U154" i="43" s="1"/>
  <c r="U153" i="43" s="1"/>
  <c r="U152" i="43" s="1"/>
  <c r="U151" i="43" s="1"/>
  <c r="U150" i="43" s="1"/>
  <c r="U149" i="43" s="1"/>
  <c r="U148" i="43" s="1"/>
  <c r="U147" i="43" s="1"/>
  <c r="U146" i="43" s="1"/>
  <c r="U145" i="43" s="1"/>
  <c r="U144" i="43" s="1"/>
  <c r="U143" i="43" s="1"/>
  <c r="U142" i="43" s="1"/>
  <c r="U141" i="43" s="1"/>
  <c r="U140" i="43" s="1"/>
  <c r="U139" i="43" s="1"/>
  <c r="U138" i="43" s="1"/>
  <c r="U137" i="43" s="1"/>
  <c r="U136" i="43" s="1"/>
  <c r="U135" i="43" s="1"/>
  <c r="U134" i="43" s="1"/>
  <c r="U133" i="43" s="1"/>
  <c r="U132" i="43" s="1"/>
  <c r="U131" i="43" s="1"/>
  <c r="U130" i="43" s="1"/>
  <c r="U129" i="43" s="1"/>
  <c r="U128" i="43" s="1"/>
  <c r="U127" i="43" s="1"/>
  <c r="U126" i="43" s="1"/>
  <c r="U125" i="43" s="1"/>
  <c r="U124" i="43" s="1"/>
  <c r="U123" i="43" s="1"/>
  <c r="U122" i="43" s="1"/>
  <c r="U121" i="43" s="1"/>
  <c r="U120" i="43" s="1"/>
  <c r="U119" i="43" s="1"/>
  <c r="U118" i="43" s="1"/>
  <c r="U117" i="43" s="1"/>
  <c r="U116" i="43" s="1"/>
  <c r="U115" i="43" s="1"/>
  <c r="U114" i="43" s="1"/>
  <c r="U113" i="43" s="1"/>
  <c r="U112" i="43" s="1"/>
  <c r="U111" i="43" s="1"/>
  <c r="U110" i="43" s="1"/>
  <c r="U109" i="43" s="1"/>
  <c r="U108" i="43" s="1"/>
  <c r="U107" i="43" s="1"/>
  <c r="U106" i="43" s="1"/>
  <c r="U105" i="43" s="1"/>
  <c r="U104" i="43" s="1"/>
  <c r="U103" i="43" s="1"/>
  <c r="U102" i="43" s="1"/>
  <c r="U101" i="43" s="1"/>
  <c r="U100" i="43" s="1"/>
  <c r="U99" i="43" s="1"/>
  <c r="U98" i="43" s="1"/>
  <c r="U97" i="43" s="1"/>
  <c r="U96" i="43" s="1"/>
  <c r="U95" i="43" s="1"/>
  <c r="U94" i="43" s="1"/>
  <c r="U93" i="43" s="1"/>
  <c r="U92" i="43" s="1"/>
  <c r="U91" i="43" s="1"/>
  <c r="U90" i="43" s="1"/>
  <c r="U89" i="43" s="1"/>
  <c r="U88" i="43" s="1"/>
  <c r="U87" i="43" s="1"/>
  <c r="U86" i="43" s="1"/>
  <c r="U85" i="43" s="1"/>
  <c r="U84" i="43" s="1"/>
  <c r="U83" i="43" s="1"/>
  <c r="U82" i="43" s="1"/>
  <c r="U81" i="43" s="1"/>
  <c r="U80" i="43" s="1"/>
  <c r="U79" i="43" s="1"/>
  <c r="U78" i="43" s="1"/>
  <c r="U77" i="43" s="1"/>
  <c r="U76" i="43" s="1"/>
  <c r="U75" i="43" s="1"/>
  <c r="U74" i="43" s="1"/>
  <c r="U73" i="43" s="1"/>
  <c r="U72" i="43" s="1"/>
  <c r="U71" i="43" s="1"/>
  <c r="U70" i="43" s="1"/>
  <c r="U69" i="43" s="1"/>
  <c r="U68" i="43" s="1"/>
  <c r="U67" i="43" s="1"/>
  <c r="U66" i="43" s="1"/>
  <c r="U65" i="43" s="1"/>
  <c r="U64" i="43" s="1"/>
  <c r="U63" i="43" s="1"/>
  <c r="U62" i="43" s="1"/>
  <c r="U61" i="43" s="1"/>
  <c r="U60" i="43" s="1"/>
  <c r="U59" i="43" s="1"/>
  <c r="U58" i="43" s="1"/>
  <c r="U57" i="43" s="1"/>
  <c r="U56" i="43" s="1"/>
  <c r="U55" i="43" s="1"/>
  <c r="U54" i="43" s="1"/>
  <c r="U53" i="43" s="1"/>
  <c r="U52" i="43" s="1"/>
  <c r="U51" i="43" s="1"/>
  <c r="U50" i="43" s="1"/>
  <c r="U49" i="43" s="1"/>
  <c r="U48" i="43" s="1"/>
  <c r="U47" i="43" s="1"/>
  <c r="U46" i="43" s="1"/>
  <c r="U45" i="43" s="1"/>
  <c r="U44" i="43" s="1"/>
  <c r="U43" i="43" s="1"/>
  <c r="U42" i="43" s="1"/>
  <c r="U41" i="43" s="1"/>
  <c r="U40" i="43" s="1"/>
  <c r="U39" i="43" s="1"/>
  <c r="U38" i="43" s="1"/>
  <c r="U37" i="43" s="1"/>
  <c r="U36" i="43" s="1"/>
  <c r="U35" i="43" s="1"/>
  <c r="U34" i="43" s="1"/>
  <c r="U33" i="43" s="1"/>
  <c r="U32" i="43" s="1"/>
  <c r="U31" i="43" s="1"/>
  <c r="U30" i="43" s="1"/>
  <c r="U29" i="43" s="1"/>
  <c r="U28" i="43" s="1"/>
  <c r="U27" i="43" s="1"/>
  <c r="U26" i="43" s="1"/>
  <c r="U25" i="43" s="1"/>
  <c r="U24" i="43" s="1"/>
  <c r="U23" i="43" s="1"/>
  <c r="U22" i="43" s="1"/>
  <c r="U21" i="43" s="1"/>
  <c r="U20" i="43" s="1"/>
  <c r="U19" i="43" s="1"/>
  <c r="U18" i="43" s="1"/>
  <c r="U17" i="43" s="1"/>
  <c r="U16" i="43" s="1"/>
  <c r="U15" i="43" s="1"/>
  <c r="U14" i="43" s="1"/>
  <c r="U210" i="3"/>
  <c r="Q212" i="3"/>
  <c r="R211" i="3"/>
  <c r="L222" i="43"/>
  <c r="K222" i="43" s="1"/>
  <c r="I226" i="19" s="1"/>
  <c r="M226" i="19" s="1"/>
  <c r="O225" i="19" s="1"/>
  <c r="H222" i="43"/>
  <c r="H223" i="43"/>
  <c r="L223" i="43"/>
  <c r="N211" i="41"/>
  <c r="O212" i="41"/>
  <c r="M212" i="41" s="1"/>
  <c r="J216" i="3" s="1"/>
  <c r="C241" i="3"/>
  <c r="A240" i="3"/>
  <c r="H214" i="3"/>
  <c r="I213" i="3"/>
  <c r="M213" i="3" s="1"/>
  <c r="O212" i="3" s="1"/>
  <c r="F214" i="3"/>
  <c r="G214" i="3"/>
  <c r="D213" i="3"/>
  <c r="E214" i="3"/>
  <c r="S227" i="19" l="1"/>
  <c r="U227" i="19"/>
  <c r="U17" i="19" s="1"/>
  <c r="U211" i="3"/>
  <c r="Q213" i="3"/>
  <c r="R212" i="3"/>
  <c r="K223" i="43"/>
  <c r="I227" i="19" s="1"/>
  <c r="M227" i="19" s="1"/>
  <c r="O223" i="43"/>
  <c r="N210" i="41"/>
  <c r="O211" i="41"/>
  <c r="M211" i="41" s="1"/>
  <c r="J215" i="3" s="1"/>
  <c r="C242" i="3"/>
  <c r="A241" i="3"/>
  <c r="H215" i="3"/>
  <c r="I214" i="3"/>
  <c r="M214" i="3" s="1"/>
  <c r="O213" i="3" s="1"/>
  <c r="F215" i="3"/>
  <c r="G215" i="3"/>
  <c r="D214" i="3"/>
  <c r="E215" i="3"/>
  <c r="O226" i="19" l="1"/>
  <c r="O227" i="19"/>
  <c r="L215" i="3"/>
  <c r="X19" i="19" a="1"/>
  <c r="X19" i="19" s="1"/>
  <c r="U212" i="3"/>
  <c r="Q214" i="3"/>
  <c r="R213" i="3"/>
  <c r="O222" i="43"/>
  <c r="P223" i="43"/>
  <c r="N223" i="43" s="1"/>
  <c r="J227" i="19" s="1"/>
  <c r="N209" i="41"/>
  <c r="O210" i="41"/>
  <c r="M210" i="41" s="1"/>
  <c r="J214" i="3" s="1"/>
  <c r="L214" i="3" s="1"/>
  <c r="C243" i="3"/>
  <c r="A242" i="3"/>
  <c r="H216" i="3"/>
  <c r="L216" i="3" s="1"/>
  <c r="I215" i="3"/>
  <c r="M215" i="3" s="1"/>
  <c r="O214" i="3" s="1"/>
  <c r="F216" i="3"/>
  <c r="G216" i="3"/>
  <c r="D215" i="3"/>
  <c r="E216" i="3"/>
  <c r="X20" i="19" l="1" a="1"/>
  <c r="X20" i="19" s="1"/>
  <c r="Y19" i="19"/>
  <c r="U213" i="3"/>
  <c r="Q215" i="3"/>
  <c r="R214" i="3"/>
  <c r="O221" i="43"/>
  <c r="P222" i="43"/>
  <c r="N222" i="43" s="1"/>
  <c r="J226" i="19" s="1"/>
  <c r="N208" i="41"/>
  <c r="O209" i="41"/>
  <c r="M209" i="41" s="1"/>
  <c r="J213" i="3" s="1"/>
  <c r="L213" i="3" s="1"/>
  <c r="S213" i="3" s="1"/>
  <c r="C244" i="3"/>
  <c r="A243" i="3"/>
  <c r="H217" i="3"/>
  <c r="L217" i="3" s="1"/>
  <c r="I216" i="3"/>
  <c r="M216" i="3" s="1"/>
  <c r="O215" i="3" s="1"/>
  <c r="F217" i="3"/>
  <c r="G217" i="3"/>
  <c r="D216" i="3"/>
  <c r="E217" i="3"/>
  <c r="X21" i="19" l="1" a="1"/>
  <c r="X21" i="19" s="1"/>
  <c r="Y20" i="19"/>
  <c r="S214" i="3"/>
  <c r="U214" i="3"/>
  <c r="Q216" i="3"/>
  <c r="R215" i="3"/>
  <c r="O220" i="43"/>
  <c r="P221" i="43"/>
  <c r="N221" i="43" s="1"/>
  <c r="J225" i="19" s="1"/>
  <c r="N207" i="41"/>
  <c r="O208" i="41"/>
  <c r="M208" i="41" s="1"/>
  <c r="J212" i="3" s="1"/>
  <c r="L212" i="3" s="1"/>
  <c r="S212" i="3" s="1"/>
  <c r="C245" i="3"/>
  <c r="A244" i="3"/>
  <c r="H218" i="3"/>
  <c r="L218" i="3" s="1"/>
  <c r="I217" i="3"/>
  <c r="M217" i="3" s="1"/>
  <c r="O216" i="3" s="1"/>
  <c r="F218" i="3"/>
  <c r="G218" i="3"/>
  <c r="D217" i="3"/>
  <c r="E218" i="3"/>
  <c r="X22" i="19" l="1" a="1"/>
  <c r="X22" i="19" s="1"/>
  <c r="Y21" i="19"/>
  <c r="S215" i="3"/>
  <c r="U215" i="3"/>
  <c r="Q217" i="3"/>
  <c r="R216" i="3"/>
  <c r="O219" i="43"/>
  <c r="P220" i="43"/>
  <c r="N220" i="43" s="1"/>
  <c r="J224" i="19" s="1"/>
  <c r="N206" i="41"/>
  <c r="O207" i="41"/>
  <c r="M207" i="41" s="1"/>
  <c r="J211" i="3" s="1"/>
  <c r="L211" i="3" s="1"/>
  <c r="S211" i="3" s="1"/>
  <c r="C246" i="3"/>
  <c r="A245" i="3"/>
  <c r="H219" i="3"/>
  <c r="L219" i="3" s="1"/>
  <c r="I218" i="3"/>
  <c r="M218" i="3" s="1"/>
  <c r="O217" i="3" s="1"/>
  <c r="F219" i="3"/>
  <c r="G219" i="3"/>
  <c r="D218" i="3"/>
  <c r="E219" i="3"/>
  <c r="X23" i="19" l="1" a="1"/>
  <c r="X23" i="19" s="1"/>
  <c r="Y22" i="19"/>
  <c r="S216" i="3"/>
  <c r="U216" i="3"/>
  <c r="Q218" i="3"/>
  <c r="R217" i="3"/>
  <c r="O218" i="43"/>
  <c r="P219" i="43"/>
  <c r="N219" i="43" s="1"/>
  <c r="J223" i="19" s="1"/>
  <c r="N205" i="41"/>
  <c r="O206" i="41"/>
  <c r="M206" i="41" s="1"/>
  <c r="J210" i="3" s="1"/>
  <c r="L210" i="3" s="1"/>
  <c r="S210" i="3" s="1"/>
  <c r="C247" i="3"/>
  <c r="A246" i="3"/>
  <c r="X24" i="19" l="1" a="1"/>
  <c r="X24" i="19" s="1"/>
  <c r="Y23" i="19"/>
  <c r="S217" i="3"/>
  <c r="U217" i="3"/>
  <c r="Q219" i="3"/>
  <c r="R218" i="3"/>
  <c r="O217" i="43"/>
  <c r="P218" i="43"/>
  <c r="N218" i="43" s="1"/>
  <c r="J222" i="19" s="1"/>
  <c r="N204" i="41"/>
  <c r="O205" i="41"/>
  <c r="M205" i="41" s="1"/>
  <c r="J209" i="3" s="1"/>
  <c r="L209" i="3" s="1"/>
  <c r="S209" i="3" s="1"/>
  <c r="C248" i="3"/>
  <c r="A247" i="3"/>
  <c r="H220" i="3"/>
  <c r="L220" i="3" s="1"/>
  <c r="I219" i="3"/>
  <c r="M219" i="3" s="1"/>
  <c r="O218" i="3" s="1"/>
  <c r="F220" i="3"/>
  <c r="G220" i="3"/>
  <c r="D219" i="3"/>
  <c r="E220" i="3"/>
  <c r="X25" i="19" l="1" a="1"/>
  <c r="X25" i="19" s="1"/>
  <c r="Y24" i="19"/>
  <c r="S218" i="3"/>
  <c r="U218" i="3"/>
  <c r="Q220" i="3"/>
  <c r="R219" i="3"/>
  <c r="O216" i="43"/>
  <c r="P217" i="43"/>
  <c r="N217" i="43" s="1"/>
  <c r="J221" i="19" s="1"/>
  <c r="N203" i="41"/>
  <c r="O204" i="41"/>
  <c r="M204" i="41" s="1"/>
  <c r="J208" i="3" s="1"/>
  <c r="L208" i="3" s="1"/>
  <c r="S208" i="3" s="1"/>
  <c r="C249" i="3"/>
  <c r="A248" i="3"/>
  <c r="H221" i="3"/>
  <c r="L221" i="3" s="1"/>
  <c r="I220" i="3"/>
  <c r="M220" i="3" s="1"/>
  <c r="O219" i="3" s="1"/>
  <c r="F221" i="3"/>
  <c r="G221" i="3"/>
  <c r="D220" i="3"/>
  <c r="E221" i="3"/>
  <c r="X26" i="19" l="1" a="1"/>
  <c r="X26" i="19" s="1"/>
  <c r="Y25" i="19"/>
  <c r="U219" i="3"/>
  <c r="S219" i="3"/>
  <c r="Q221" i="3"/>
  <c r="R220" i="3"/>
  <c r="O215" i="43"/>
  <c r="P216" i="43"/>
  <c r="N216" i="43" s="1"/>
  <c r="J220" i="19" s="1"/>
  <c r="N202" i="41"/>
  <c r="O203" i="41"/>
  <c r="M203" i="41" s="1"/>
  <c r="J207" i="3" s="1"/>
  <c r="L207" i="3" s="1"/>
  <c r="S207" i="3" s="1"/>
  <c r="C250" i="3"/>
  <c r="A249" i="3"/>
  <c r="H222" i="3"/>
  <c r="L222" i="3" s="1"/>
  <c r="I221" i="3"/>
  <c r="M221" i="3" s="1"/>
  <c r="O220" i="3" s="1"/>
  <c r="F222" i="3"/>
  <c r="G222" i="3"/>
  <c r="D221" i="3"/>
  <c r="E222" i="3"/>
  <c r="X27" i="19" l="1" a="1"/>
  <c r="X27" i="19" s="1"/>
  <c r="Y26" i="19"/>
  <c r="U220" i="3"/>
  <c r="S220" i="3"/>
  <c r="Q222" i="3"/>
  <c r="R221" i="3"/>
  <c r="O214" i="43"/>
  <c r="P215" i="43"/>
  <c r="N215" i="43" s="1"/>
  <c r="J219" i="19" s="1"/>
  <c r="N201" i="41"/>
  <c r="O202" i="41"/>
  <c r="M202" i="41" s="1"/>
  <c r="J206" i="3" s="1"/>
  <c r="L206" i="3" s="1"/>
  <c r="S206" i="3" s="1"/>
  <c r="C251" i="3"/>
  <c r="A250" i="3"/>
  <c r="H223" i="3"/>
  <c r="L223" i="3" s="1"/>
  <c r="I222" i="3"/>
  <c r="M222" i="3" s="1"/>
  <c r="O221" i="3" s="1"/>
  <c r="F223" i="3"/>
  <c r="G223" i="3"/>
  <c r="D222" i="3"/>
  <c r="E223" i="3"/>
  <c r="X28" i="19" l="1" a="1"/>
  <c r="X28" i="19" s="1"/>
  <c r="Y27" i="19"/>
  <c r="U221" i="3"/>
  <c r="S221" i="3"/>
  <c r="Q223" i="3"/>
  <c r="R222" i="3"/>
  <c r="O213" i="43"/>
  <c r="P214" i="43"/>
  <c r="N214" i="43" s="1"/>
  <c r="J218" i="19" s="1"/>
  <c r="N200" i="41"/>
  <c r="O201" i="41"/>
  <c r="M201" i="41" s="1"/>
  <c r="J205" i="3" s="1"/>
  <c r="L205" i="3" s="1"/>
  <c r="S205" i="3" s="1"/>
  <c r="C252" i="3"/>
  <c r="A251" i="3"/>
  <c r="L224" i="3"/>
  <c r="I223" i="3"/>
  <c r="M223" i="3" s="1"/>
  <c r="D223" i="3"/>
  <c r="O222" i="3" l="1"/>
  <c r="O223" i="3"/>
  <c r="X29" i="19" a="1"/>
  <c r="X29" i="19" s="1"/>
  <c r="Y28" i="19"/>
  <c r="U222" i="3"/>
  <c r="S222" i="3"/>
  <c r="Q224" i="3"/>
  <c r="R223" i="3"/>
  <c r="O212" i="43"/>
  <c r="P213" i="43"/>
  <c r="N213" i="43" s="1"/>
  <c r="J217" i="19" s="1"/>
  <c r="N199" i="41"/>
  <c r="O200" i="41"/>
  <c r="M200" i="41" s="1"/>
  <c r="J204" i="3" s="1"/>
  <c r="L204" i="3" s="1"/>
  <c r="S204" i="3" s="1"/>
  <c r="C253" i="3"/>
  <c r="A252" i="3"/>
  <c r="L225" i="3"/>
  <c r="X30" i="19" l="1" a="1"/>
  <c r="X30" i="19" s="1"/>
  <c r="Y29" i="19"/>
  <c r="Q225" i="3"/>
  <c r="R224" i="3"/>
  <c r="U223" i="3"/>
  <c r="S223" i="3"/>
  <c r="O211" i="43"/>
  <c r="P212" i="43"/>
  <c r="N212" i="43" s="1"/>
  <c r="J216" i="19" s="1"/>
  <c r="N198" i="41"/>
  <c r="O199" i="41"/>
  <c r="M199" i="41" s="1"/>
  <c r="J203" i="3" s="1"/>
  <c r="L203" i="3" s="1"/>
  <c r="S203" i="3" s="1"/>
  <c r="C254" i="3"/>
  <c r="A253" i="3"/>
  <c r="L226" i="3"/>
  <c r="X31" i="19" l="1" a="1"/>
  <c r="X31" i="19" s="1"/>
  <c r="Y30" i="19"/>
  <c r="U224" i="3"/>
  <c r="S224" i="3"/>
  <c r="Q226" i="3"/>
  <c r="R225" i="3"/>
  <c r="O210" i="43"/>
  <c r="P211" i="43"/>
  <c r="N211" i="43" s="1"/>
  <c r="J215" i="19" s="1"/>
  <c r="N197" i="41"/>
  <c r="O198" i="41"/>
  <c r="M198" i="41" s="1"/>
  <c r="J202" i="3" s="1"/>
  <c r="L202" i="3" s="1"/>
  <c r="S202" i="3" s="1"/>
  <c r="C255" i="3"/>
  <c r="A254" i="3"/>
  <c r="L227" i="3"/>
  <c r="X32" i="19" l="1" a="1"/>
  <c r="X32" i="19" s="1"/>
  <c r="Y31" i="19"/>
  <c r="U225" i="3"/>
  <c r="S225" i="3"/>
  <c r="Q227" i="3"/>
  <c r="R227" i="3" s="1"/>
  <c r="R226" i="3"/>
  <c r="O209" i="43"/>
  <c r="P210" i="43"/>
  <c r="N210" i="43" s="1"/>
  <c r="J214" i="19" s="1"/>
  <c r="N196" i="41"/>
  <c r="O197" i="41"/>
  <c r="M197" i="41" s="1"/>
  <c r="J201" i="3" s="1"/>
  <c r="L201" i="3" s="1"/>
  <c r="S201" i="3" s="1"/>
  <c r="C256" i="3"/>
  <c r="A255" i="3"/>
  <c r="H228" i="3"/>
  <c r="L228" i="3" s="1"/>
  <c r="F228" i="3"/>
  <c r="G228" i="3"/>
  <c r="E228" i="3"/>
  <c r="X33" i="19" l="1" a="1"/>
  <c r="X33" i="19" s="1"/>
  <c r="Y32" i="19"/>
  <c r="U226" i="3"/>
  <c r="S226" i="3"/>
  <c r="U227" i="3"/>
  <c r="U17" i="3" s="1"/>
  <c r="S227" i="3"/>
  <c r="O208" i="43"/>
  <c r="P209" i="43"/>
  <c r="N209" i="43" s="1"/>
  <c r="J213" i="19" s="1"/>
  <c r="N195" i="41"/>
  <c r="O196" i="41"/>
  <c r="M196" i="41" s="1"/>
  <c r="J200" i="3" s="1"/>
  <c r="L200" i="3" s="1"/>
  <c r="C257" i="3"/>
  <c r="A256" i="3"/>
  <c r="H229" i="3"/>
  <c r="L229" i="3" s="1"/>
  <c r="I228" i="3"/>
  <c r="F229" i="3"/>
  <c r="G229" i="3"/>
  <c r="D228" i="3"/>
  <c r="E229" i="3"/>
  <c r="W19" i="3" l="1" a="1"/>
  <c r="W19" i="3" s="1"/>
  <c r="X34" i="19" a="1"/>
  <c r="X34" i="19" s="1"/>
  <c r="Y33" i="19"/>
  <c r="O207" i="43"/>
  <c r="P208" i="43"/>
  <c r="N208" i="43" s="1"/>
  <c r="J212" i="19" s="1"/>
  <c r="O195" i="41"/>
  <c r="M195" i="41" s="1"/>
  <c r="J199" i="3" s="1"/>
  <c r="L199" i="3" s="1"/>
  <c r="S199" i="3" s="1"/>
  <c r="N194" i="41"/>
  <c r="C258" i="3"/>
  <c r="A257" i="3"/>
  <c r="H230" i="3"/>
  <c r="L230" i="3" s="1"/>
  <c r="I229" i="3"/>
  <c r="F230" i="3"/>
  <c r="G230" i="3"/>
  <c r="D229" i="3"/>
  <c r="E230" i="3"/>
  <c r="W20" i="3" l="1" a="1"/>
  <c r="W20" i="3" s="1"/>
  <c r="X19" i="3"/>
  <c r="X35" i="19" a="1"/>
  <c r="X35" i="19" s="1"/>
  <c r="Y34" i="19"/>
  <c r="O206" i="43"/>
  <c r="P207" i="43"/>
  <c r="N207" i="43" s="1"/>
  <c r="J211" i="19" s="1"/>
  <c r="N193" i="41"/>
  <c r="O194" i="41"/>
  <c r="M194" i="41" s="1"/>
  <c r="J198" i="3" s="1"/>
  <c r="L198" i="3" s="1"/>
  <c r="C259" i="3"/>
  <c r="A258" i="3"/>
  <c r="H231" i="3"/>
  <c r="L231" i="3" s="1"/>
  <c r="I230" i="3"/>
  <c r="F231" i="3"/>
  <c r="G231" i="3"/>
  <c r="D230" i="3"/>
  <c r="E231" i="3"/>
  <c r="W21" i="3" l="1" a="1"/>
  <c r="W21" i="3" s="1"/>
  <c r="X20" i="3"/>
  <c r="X36" i="19" a="1"/>
  <c r="X36" i="19" s="1"/>
  <c r="Y35" i="19"/>
  <c r="O205" i="43"/>
  <c r="P206" i="43"/>
  <c r="N206" i="43" s="1"/>
  <c r="J210" i="19" s="1"/>
  <c r="O193" i="41"/>
  <c r="N192" i="41"/>
  <c r="M193" i="41"/>
  <c r="J197" i="3" s="1"/>
  <c r="L197" i="3" s="1"/>
  <c r="C260" i="3"/>
  <c r="A259" i="3"/>
  <c r="H232" i="3"/>
  <c r="L232" i="3" s="1"/>
  <c r="I231" i="3"/>
  <c r="F232" i="3"/>
  <c r="G232" i="3"/>
  <c r="D231" i="3"/>
  <c r="E232" i="3"/>
  <c r="W22" i="3" l="1" a="1"/>
  <c r="W22" i="3" s="1"/>
  <c r="X21" i="3"/>
  <c r="X37" i="19" a="1"/>
  <c r="X37" i="19" s="1"/>
  <c r="Y36" i="19"/>
  <c r="O204" i="43"/>
  <c r="P205" i="43"/>
  <c r="N205" i="43" s="1"/>
  <c r="J209" i="19" s="1"/>
  <c r="N191" i="41"/>
  <c r="O192" i="41"/>
  <c r="M192" i="41" s="1"/>
  <c r="J196" i="3" s="1"/>
  <c r="L196" i="3" s="1"/>
  <c r="C261" i="3"/>
  <c r="A260" i="3"/>
  <c r="H233" i="3"/>
  <c r="L233" i="3" s="1"/>
  <c r="I232" i="3"/>
  <c r="F233" i="3"/>
  <c r="G233" i="3"/>
  <c r="D232" i="3"/>
  <c r="E233" i="3"/>
  <c r="W23" i="3" l="1" a="1"/>
  <c r="W23" i="3" s="1"/>
  <c r="X22" i="3"/>
  <c r="X38" i="19" a="1"/>
  <c r="X38" i="19" s="1"/>
  <c r="Y37" i="19"/>
  <c r="O203" i="43"/>
  <c r="P204" i="43"/>
  <c r="N204" i="43" s="1"/>
  <c r="J208" i="19" s="1"/>
  <c r="O191" i="41"/>
  <c r="M191" i="41" s="1"/>
  <c r="J195" i="3" s="1"/>
  <c r="L195" i="3" s="1"/>
  <c r="N190" i="41"/>
  <c r="C262" i="3"/>
  <c r="A261" i="3"/>
  <c r="H234" i="3"/>
  <c r="L234" i="3" s="1"/>
  <c r="I233" i="3"/>
  <c r="F234" i="3"/>
  <c r="G234" i="3"/>
  <c r="D233" i="3"/>
  <c r="E234" i="3"/>
  <c r="W24" i="3" l="1" a="1"/>
  <c r="W24" i="3" s="1"/>
  <c r="X23" i="3"/>
  <c r="X39" i="19" a="1"/>
  <c r="X39" i="19" s="1"/>
  <c r="Y38" i="19"/>
  <c r="O202" i="43"/>
  <c r="P203" i="43"/>
  <c r="N203" i="43" s="1"/>
  <c r="J207" i="19" s="1"/>
  <c r="N189" i="41"/>
  <c r="O190" i="41"/>
  <c r="M190" i="41"/>
  <c r="J194" i="3" s="1"/>
  <c r="L194" i="3" s="1"/>
  <c r="C263" i="3"/>
  <c r="A262" i="3"/>
  <c r="H235" i="3"/>
  <c r="L235" i="3" s="1"/>
  <c r="I234" i="3"/>
  <c r="F235" i="3"/>
  <c r="G235" i="3"/>
  <c r="D234" i="3"/>
  <c r="E235" i="3"/>
  <c r="W25" i="3" l="1" a="1"/>
  <c r="W25" i="3" s="1"/>
  <c r="X24" i="3"/>
  <c r="X40" i="19" a="1"/>
  <c r="X40" i="19" s="1"/>
  <c r="Y39" i="19"/>
  <c r="O201" i="43"/>
  <c r="P202" i="43"/>
  <c r="N202" i="43" s="1"/>
  <c r="J206" i="19" s="1"/>
  <c r="N188" i="41"/>
  <c r="O189" i="41"/>
  <c r="M189" i="41"/>
  <c r="J193" i="3" s="1"/>
  <c r="L193" i="3" s="1"/>
  <c r="C264" i="3"/>
  <c r="A263" i="3"/>
  <c r="H236" i="3"/>
  <c r="L236" i="3" s="1"/>
  <c r="I235" i="3"/>
  <c r="F236" i="3"/>
  <c r="G236" i="3"/>
  <c r="D235" i="3"/>
  <c r="E236" i="3"/>
  <c r="W26" i="3" l="1" a="1"/>
  <c r="W26" i="3" s="1"/>
  <c r="X25" i="3"/>
  <c r="X41" i="19" a="1"/>
  <c r="X41" i="19" s="1"/>
  <c r="Y40" i="19"/>
  <c r="O200" i="43"/>
  <c r="P201" i="43"/>
  <c r="N201" i="43" s="1"/>
  <c r="J205" i="19" s="1"/>
  <c r="N187" i="41"/>
  <c r="O188" i="41"/>
  <c r="M188" i="41" s="1"/>
  <c r="J192" i="3" s="1"/>
  <c r="L192" i="3" s="1"/>
  <c r="C265" i="3"/>
  <c r="A264" i="3"/>
  <c r="H237" i="3"/>
  <c r="L237" i="3" s="1"/>
  <c r="I236" i="3"/>
  <c r="F237" i="3"/>
  <c r="G237" i="3"/>
  <c r="D236" i="3"/>
  <c r="E237" i="3"/>
  <c r="W27" i="3" l="1" a="1"/>
  <c r="W27" i="3" s="1"/>
  <c r="X26" i="3"/>
  <c r="X42" i="19" a="1"/>
  <c r="X42" i="19" s="1"/>
  <c r="Y41" i="19"/>
  <c r="O199" i="43"/>
  <c r="P200" i="43"/>
  <c r="N200" i="43" s="1"/>
  <c r="J204" i="19" s="1"/>
  <c r="O187" i="41"/>
  <c r="M187" i="41" s="1"/>
  <c r="J191" i="3" s="1"/>
  <c r="L191" i="3" s="1"/>
  <c r="N186" i="41"/>
  <c r="C266" i="3"/>
  <c r="A265" i="3"/>
  <c r="H238" i="3"/>
  <c r="L238" i="3" s="1"/>
  <c r="I237" i="3"/>
  <c r="F238" i="3"/>
  <c r="G238" i="3"/>
  <c r="D237" i="3"/>
  <c r="E238" i="3"/>
  <c r="W28" i="3" l="1" a="1"/>
  <c r="W28" i="3" s="1"/>
  <c r="X27" i="3"/>
  <c r="X43" i="19" a="1"/>
  <c r="X43" i="19" s="1"/>
  <c r="Y42" i="19"/>
  <c r="O198" i="43"/>
  <c r="P199" i="43"/>
  <c r="N199" i="43" s="1"/>
  <c r="J203" i="19" s="1"/>
  <c r="O186" i="41"/>
  <c r="N185" i="41"/>
  <c r="M186" i="41"/>
  <c r="J190" i="3" s="1"/>
  <c r="L190" i="3" s="1"/>
  <c r="C267" i="3"/>
  <c r="A266" i="3"/>
  <c r="H239" i="3"/>
  <c r="L239" i="3" s="1"/>
  <c r="I238" i="3"/>
  <c r="F239" i="3"/>
  <c r="G239" i="3"/>
  <c r="D238" i="3"/>
  <c r="E239" i="3"/>
  <c r="W29" i="3" l="1" a="1"/>
  <c r="W29" i="3" s="1"/>
  <c r="X28" i="3"/>
  <c r="X44" i="19" a="1"/>
  <c r="X44" i="19" s="1"/>
  <c r="Y43" i="19"/>
  <c r="O197" i="43"/>
  <c r="P198" i="43"/>
  <c r="N198" i="43" s="1"/>
  <c r="J202" i="19" s="1"/>
  <c r="N184" i="41"/>
  <c r="O185" i="41"/>
  <c r="M185" i="41" s="1"/>
  <c r="J189" i="3" s="1"/>
  <c r="L189" i="3" s="1"/>
  <c r="C268" i="3"/>
  <c r="A267" i="3"/>
  <c r="H240" i="3"/>
  <c r="L240" i="3" s="1"/>
  <c r="I239" i="3"/>
  <c r="F240" i="3"/>
  <c r="G240" i="3"/>
  <c r="D239" i="3"/>
  <c r="E240" i="3"/>
  <c r="W30" i="3" l="1" a="1"/>
  <c r="W30" i="3" s="1"/>
  <c r="X29" i="3"/>
  <c r="X45" i="19" a="1"/>
  <c r="X45" i="19" s="1"/>
  <c r="Y44" i="19"/>
  <c r="O196" i="43"/>
  <c r="P197" i="43"/>
  <c r="N197" i="43"/>
  <c r="J201" i="19" s="1"/>
  <c r="N183" i="41"/>
  <c r="O184" i="41"/>
  <c r="M184" i="41" s="1"/>
  <c r="J188" i="3" s="1"/>
  <c r="L188" i="3" s="1"/>
  <c r="C269" i="3"/>
  <c r="A268" i="3"/>
  <c r="H241" i="3"/>
  <c r="L241" i="3" s="1"/>
  <c r="I240" i="3"/>
  <c r="F241" i="3"/>
  <c r="G241" i="3"/>
  <c r="D240" i="3"/>
  <c r="E241" i="3"/>
  <c r="W31" i="3" l="1" a="1"/>
  <c r="W31" i="3" s="1"/>
  <c r="X30" i="3"/>
  <c r="X46" i="19" a="1"/>
  <c r="X46" i="19" s="1"/>
  <c r="Y45" i="19"/>
  <c r="O195" i="43"/>
  <c r="P196" i="43"/>
  <c r="N196" i="43" s="1"/>
  <c r="J200" i="19" s="1"/>
  <c r="O183" i="41"/>
  <c r="N182" i="41"/>
  <c r="M183" i="41"/>
  <c r="J187" i="3" s="1"/>
  <c r="L187" i="3" s="1"/>
  <c r="C270" i="3"/>
  <c r="A269" i="3"/>
  <c r="H242" i="3"/>
  <c r="L242" i="3" s="1"/>
  <c r="I241" i="3"/>
  <c r="F242" i="3"/>
  <c r="G242" i="3"/>
  <c r="D241" i="3"/>
  <c r="E242" i="3"/>
  <c r="W32" i="3" l="1" a="1"/>
  <c r="W32" i="3" s="1"/>
  <c r="X31" i="3"/>
  <c r="X47" i="19" a="1"/>
  <c r="X47" i="19" s="1"/>
  <c r="Y46" i="19"/>
  <c r="O194" i="43"/>
  <c r="P195" i="43"/>
  <c r="N195" i="43" s="1"/>
  <c r="J199" i="19" s="1"/>
  <c r="N181" i="41"/>
  <c r="O182" i="41"/>
  <c r="M182" i="41" s="1"/>
  <c r="J186" i="3" s="1"/>
  <c r="L186" i="3" s="1"/>
  <c r="C271" i="3"/>
  <c r="A270" i="3"/>
  <c r="H243" i="3"/>
  <c r="L243" i="3" s="1"/>
  <c r="I242" i="3"/>
  <c r="F243" i="3"/>
  <c r="G243" i="3"/>
  <c r="D242" i="3"/>
  <c r="E243" i="3"/>
  <c r="W33" i="3" l="1" a="1"/>
  <c r="W33" i="3" s="1"/>
  <c r="X32" i="3"/>
  <c r="X48" i="19" a="1"/>
  <c r="X48" i="19" s="1"/>
  <c r="Y47" i="19"/>
  <c r="O193" i="43"/>
  <c r="P194" i="43"/>
  <c r="N194" i="43" s="1"/>
  <c r="J198" i="19" s="1"/>
  <c r="O181" i="41"/>
  <c r="N180" i="41"/>
  <c r="M181" i="41"/>
  <c r="J185" i="3" s="1"/>
  <c r="L185" i="3" s="1"/>
  <c r="C272" i="3"/>
  <c r="A271" i="3"/>
  <c r="H244" i="3"/>
  <c r="L244" i="3" s="1"/>
  <c r="I243" i="3"/>
  <c r="F244" i="3"/>
  <c r="G244" i="3"/>
  <c r="E244" i="3"/>
  <c r="D243" i="3"/>
  <c r="W34" i="3" l="1" a="1"/>
  <c r="W34" i="3" s="1"/>
  <c r="X33" i="3"/>
  <c r="X49" i="19" a="1"/>
  <c r="X49" i="19" s="1"/>
  <c r="Y48" i="19"/>
  <c r="O192" i="43"/>
  <c r="P193" i="43"/>
  <c r="N193" i="43" s="1"/>
  <c r="J197" i="19" s="1"/>
  <c r="N179" i="41"/>
  <c r="O180" i="41"/>
  <c r="M180" i="41" s="1"/>
  <c r="J184" i="3" s="1"/>
  <c r="L184" i="3" s="1"/>
  <c r="C273" i="3"/>
  <c r="A272" i="3"/>
  <c r="H245" i="3"/>
  <c r="L245" i="3" s="1"/>
  <c r="I244" i="3"/>
  <c r="F245" i="3"/>
  <c r="G245" i="3"/>
  <c r="E245" i="3"/>
  <c r="D244" i="3"/>
  <c r="W35" i="3" l="1" a="1"/>
  <c r="W35" i="3" s="1"/>
  <c r="X34" i="3"/>
  <c r="X50" i="19" a="1"/>
  <c r="X50" i="19" s="1"/>
  <c r="Y49" i="19"/>
  <c r="O191" i="43"/>
  <c r="P192" i="43"/>
  <c r="N192" i="43" s="1"/>
  <c r="J196" i="19" s="1"/>
  <c r="N178" i="41"/>
  <c r="O179" i="41"/>
  <c r="M179" i="41" s="1"/>
  <c r="J183" i="3" s="1"/>
  <c r="L183" i="3" s="1"/>
  <c r="C274" i="3"/>
  <c r="A273" i="3"/>
  <c r="H246" i="3"/>
  <c r="L246" i="3" s="1"/>
  <c r="I245" i="3"/>
  <c r="F246" i="3"/>
  <c r="G246" i="3"/>
  <c r="E246" i="3"/>
  <c r="D245" i="3"/>
  <c r="W36" i="3" l="1" a="1"/>
  <c r="W36" i="3" s="1"/>
  <c r="X35" i="3"/>
  <c r="X51" i="19" a="1"/>
  <c r="X51" i="19" s="1"/>
  <c r="Y50" i="19"/>
  <c r="O190" i="43"/>
  <c r="P191" i="43"/>
  <c r="N191" i="43" s="1"/>
  <c r="J195" i="19" s="1"/>
  <c r="O178" i="41"/>
  <c r="M178" i="41" s="1"/>
  <c r="J182" i="3" s="1"/>
  <c r="L182" i="3" s="1"/>
  <c r="N177" i="41"/>
  <c r="C275" i="3"/>
  <c r="A274" i="3"/>
  <c r="H247" i="3"/>
  <c r="L247" i="3" s="1"/>
  <c r="I246" i="3"/>
  <c r="F247" i="3"/>
  <c r="G247" i="3"/>
  <c r="E247" i="3"/>
  <c r="D246" i="3"/>
  <c r="W37" i="3" l="1" a="1"/>
  <c r="W37" i="3" s="1"/>
  <c r="X36" i="3"/>
  <c r="X52" i="19" a="1"/>
  <c r="X52" i="19" s="1"/>
  <c r="Y51" i="19"/>
  <c r="O189" i="43"/>
  <c r="P190" i="43"/>
  <c r="N190" i="43" s="1"/>
  <c r="J194" i="19" s="1"/>
  <c r="N176" i="41"/>
  <c r="O177" i="41"/>
  <c r="M177" i="41" s="1"/>
  <c r="J181" i="3" s="1"/>
  <c r="L181" i="3" s="1"/>
  <c r="C276" i="3"/>
  <c r="A275" i="3"/>
  <c r="H248" i="3"/>
  <c r="L248" i="3" s="1"/>
  <c r="I247" i="3"/>
  <c r="F248" i="3"/>
  <c r="G248" i="3"/>
  <c r="E248" i="3"/>
  <c r="D247" i="3"/>
  <c r="W38" i="3" l="1" a="1"/>
  <c r="W38" i="3" s="1"/>
  <c r="X37" i="3"/>
  <c r="X53" i="19" a="1"/>
  <c r="X53" i="19" s="1"/>
  <c r="Y52" i="19"/>
  <c r="O188" i="43"/>
  <c r="P189" i="43"/>
  <c r="N189" i="43" s="1"/>
  <c r="J193" i="19" s="1"/>
  <c r="N175" i="41"/>
  <c r="O176" i="41"/>
  <c r="M176" i="41" s="1"/>
  <c r="J180" i="3" s="1"/>
  <c r="L180" i="3" s="1"/>
  <c r="C277" i="3"/>
  <c r="A276" i="3"/>
  <c r="H249" i="3"/>
  <c r="L249" i="3" s="1"/>
  <c r="I248" i="3"/>
  <c r="F249" i="3"/>
  <c r="G249" i="3"/>
  <c r="E249" i="3"/>
  <c r="D248" i="3"/>
  <c r="W39" i="3" l="1" a="1"/>
  <c r="W39" i="3" s="1"/>
  <c r="X38" i="3"/>
  <c r="X54" i="19" a="1"/>
  <c r="X54" i="19" s="1"/>
  <c r="Y53" i="19"/>
  <c r="O187" i="43"/>
  <c r="P188" i="43"/>
  <c r="N188" i="43" s="1"/>
  <c r="J192" i="19" s="1"/>
  <c r="N174" i="41"/>
  <c r="O175" i="41"/>
  <c r="M175" i="41"/>
  <c r="J179" i="3" s="1"/>
  <c r="L179" i="3" s="1"/>
  <c r="C278" i="3"/>
  <c r="A277" i="3"/>
  <c r="H250" i="3"/>
  <c r="L250" i="3" s="1"/>
  <c r="I249" i="3"/>
  <c r="F250" i="3"/>
  <c r="G250" i="3"/>
  <c r="E250" i="3"/>
  <c r="D249" i="3"/>
  <c r="W40" i="3" l="1" a="1"/>
  <c r="W40" i="3" s="1"/>
  <c r="X39" i="3"/>
  <c r="X55" i="19" a="1"/>
  <c r="X55" i="19" s="1"/>
  <c r="Y54" i="19"/>
  <c r="O186" i="43"/>
  <c r="P187" i="43"/>
  <c r="N187" i="43" s="1"/>
  <c r="J191" i="19" s="1"/>
  <c r="N173" i="41"/>
  <c r="O174" i="41"/>
  <c r="M174" i="41" s="1"/>
  <c r="J178" i="3" s="1"/>
  <c r="L178" i="3" s="1"/>
  <c r="C279" i="3"/>
  <c r="A278" i="3"/>
  <c r="H251" i="3"/>
  <c r="L251" i="3" s="1"/>
  <c r="I250" i="3"/>
  <c r="F251" i="3"/>
  <c r="G251" i="3"/>
  <c r="E251" i="3"/>
  <c r="D250" i="3"/>
  <c r="W41" i="3" l="1" a="1"/>
  <c r="W41" i="3" s="1"/>
  <c r="X40" i="3"/>
  <c r="X56" i="19" a="1"/>
  <c r="X56" i="19" s="1"/>
  <c r="Y55" i="19"/>
  <c r="O185" i="43"/>
  <c r="P186" i="43"/>
  <c r="N186" i="43" s="1"/>
  <c r="J190" i="19" s="1"/>
  <c r="N172" i="41"/>
  <c r="O173" i="41"/>
  <c r="M173" i="41" s="1"/>
  <c r="J177" i="3" s="1"/>
  <c r="L177" i="3" s="1"/>
  <c r="C280" i="3"/>
  <c r="A279" i="3"/>
  <c r="H252" i="3"/>
  <c r="L252" i="3" s="1"/>
  <c r="I251" i="3"/>
  <c r="F252" i="3"/>
  <c r="G252" i="3"/>
  <c r="E252" i="3"/>
  <c r="D251" i="3"/>
  <c r="W42" i="3" l="1" a="1"/>
  <c r="W42" i="3" s="1"/>
  <c r="X41" i="3"/>
  <c r="X57" i="19" a="1"/>
  <c r="X57" i="19" s="1"/>
  <c r="Y56" i="19"/>
  <c r="O184" i="43"/>
  <c r="P185" i="43"/>
  <c r="N185" i="43" s="1"/>
  <c r="J189" i="19" s="1"/>
  <c r="N171" i="41"/>
  <c r="O172" i="41"/>
  <c r="M172" i="41" s="1"/>
  <c r="J176" i="3" s="1"/>
  <c r="L176" i="3" s="1"/>
  <c r="C281" i="3"/>
  <c r="A280" i="3"/>
  <c r="H253" i="3"/>
  <c r="L253" i="3" s="1"/>
  <c r="I252" i="3"/>
  <c r="F253" i="3"/>
  <c r="G253" i="3"/>
  <c r="E253" i="3"/>
  <c r="D252" i="3"/>
  <c r="W43" i="3" l="1" a="1"/>
  <c r="W43" i="3" s="1"/>
  <c r="X42" i="3"/>
  <c r="X58" i="19" a="1"/>
  <c r="X58" i="19" s="1"/>
  <c r="Y57" i="19"/>
  <c r="O183" i="43"/>
  <c r="P184" i="43"/>
  <c r="N184" i="43" s="1"/>
  <c r="J188" i="19" s="1"/>
  <c r="N170" i="41"/>
  <c r="O171" i="41"/>
  <c r="M171" i="41" s="1"/>
  <c r="J175" i="3" s="1"/>
  <c r="L175" i="3" s="1"/>
  <c r="C282" i="3"/>
  <c r="A281" i="3"/>
  <c r="H254" i="3"/>
  <c r="L254" i="3" s="1"/>
  <c r="I253" i="3"/>
  <c r="F254" i="3"/>
  <c r="G254" i="3"/>
  <c r="E254" i="3"/>
  <c r="D253" i="3"/>
  <c r="W44" i="3" l="1" a="1"/>
  <c r="W44" i="3" s="1"/>
  <c r="X43" i="3"/>
  <c r="X59" i="19" a="1"/>
  <c r="X59" i="19" s="1"/>
  <c r="Y58" i="19"/>
  <c r="O182" i="43"/>
  <c r="P183" i="43"/>
  <c r="N183" i="43" s="1"/>
  <c r="J187" i="19" s="1"/>
  <c r="N169" i="41"/>
  <c r="O170" i="41"/>
  <c r="M170" i="41" s="1"/>
  <c r="J174" i="3" s="1"/>
  <c r="L174" i="3" s="1"/>
  <c r="C283" i="3"/>
  <c r="A282" i="3"/>
  <c r="H255" i="3"/>
  <c r="L255" i="3" s="1"/>
  <c r="I254" i="3"/>
  <c r="F255" i="3"/>
  <c r="G255" i="3"/>
  <c r="D254" i="3"/>
  <c r="E255" i="3"/>
  <c r="S196" i="3"/>
  <c r="S197" i="3" s="1"/>
  <c r="S198" i="3" s="1"/>
  <c r="S200" i="3"/>
  <c r="W45" i="3" l="1" a="1"/>
  <c r="W45" i="3" s="1"/>
  <c r="X44" i="3"/>
  <c r="X60" i="19" a="1"/>
  <c r="X60" i="19" s="1"/>
  <c r="Y59" i="19"/>
  <c r="O181" i="43"/>
  <c r="P182" i="43"/>
  <c r="N182" i="43" s="1"/>
  <c r="J186" i="19" s="1"/>
  <c r="N168" i="41"/>
  <c r="O169" i="41"/>
  <c r="M169" i="41"/>
  <c r="J173" i="3" s="1"/>
  <c r="L173" i="3" s="1"/>
  <c r="C284" i="3"/>
  <c r="A283" i="3"/>
  <c r="H256" i="3"/>
  <c r="L256" i="3" s="1"/>
  <c r="I255" i="3"/>
  <c r="F256" i="3"/>
  <c r="G256" i="3"/>
  <c r="D255" i="3"/>
  <c r="E256" i="3"/>
  <c r="S195" i="3"/>
  <c r="W46" i="3" l="1" a="1"/>
  <c r="W46" i="3" s="1"/>
  <c r="X45" i="3"/>
  <c r="X61" i="19" a="1"/>
  <c r="X61" i="19" s="1"/>
  <c r="Y60" i="19"/>
  <c r="O180" i="43"/>
  <c r="P181" i="43"/>
  <c r="N181" i="43" s="1"/>
  <c r="J185" i="19" s="1"/>
  <c r="O168" i="41"/>
  <c r="N167" i="41"/>
  <c r="M168" i="41"/>
  <c r="J172" i="3" s="1"/>
  <c r="L172" i="3" s="1"/>
  <c r="C285" i="3"/>
  <c r="A284" i="3"/>
  <c r="H257" i="3"/>
  <c r="L257" i="3" s="1"/>
  <c r="I256" i="3"/>
  <c r="F257" i="3"/>
  <c r="G257" i="3"/>
  <c r="D256" i="3"/>
  <c r="E257" i="3"/>
  <c r="S194" i="3"/>
  <c r="W47" i="3" l="1" a="1"/>
  <c r="W47" i="3" s="1"/>
  <c r="X46" i="3"/>
  <c r="X62" i="19" a="1"/>
  <c r="X62" i="19" s="1"/>
  <c r="Y61" i="19"/>
  <c r="O179" i="43"/>
  <c r="P180" i="43"/>
  <c r="N180" i="43" s="1"/>
  <c r="J184" i="19" s="1"/>
  <c r="N166" i="41"/>
  <c r="O167" i="41"/>
  <c r="M167" i="41" s="1"/>
  <c r="J171" i="3" s="1"/>
  <c r="L171" i="3" s="1"/>
  <c r="C286" i="3"/>
  <c r="A285" i="3"/>
  <c r="H258" i="3"/>
  <c r="L258" i="3" s="1"/>
  <c r="I257" i="3"/>
  <c r="F258" i="3"/>
  <c r="G258" i="3"/>
  <c r="D257" i="3"/>
  <c r="E258" i="3"/>
  <c r="S193" i="3"/>
  <c r="W48" i="3" l="1" a="1"/>
  <c r="W48" i="3" s="1"/>
  <c r="X47" i="3"/>
  <c r="X63" i="19" a="1"/>
  <c r="X63" i="19" s="1"/>
  <c r="Y62" i="19"/>
  <c r="O178" i="43"/>
  <c r="P179" i="43"/>
  <c r="N179" i="43"/>
  <c r="J183" i="19" s="1"/>
  <c r="O166" i="41"/>
  <c r="M166" i="41" s="1"/>
  <c r="J170" i="3" s="1"/>
  <c r="L170" i="3" s="1"/>
  <c r="N165" i="41"/>
  <c r="C287" i="3"/>
  <c r="A286" i="3"/>
  <c r="H259" i="3"/>
  <c r="L259" i="3" s="1"/>
  <c r="I258" i="3"/>
  <c r="F259" i="3"/>
  <c r="G259" i="3"/>
  <c r="D258" i="3"/>
  <c r="E259" i="3"/>
  <c r="S192" i="3"/>
  <c r="W49" i="3" l="1" a="1"/>
  <c r="W49" i="3" s="1"/>
  <c r="X48" i="3"/>
  <c r="X64" i="19" a="1"/>
  <c r="X64" i="19" s="1"/>
  <c r="Y63" i="19"/>
  <c r="O177" i="43"/>
  <c r="P178" i="43"/>
  <c r="N178" i="43" s="1"/>
  <c r="J182" i="19" s="1"/>
  <c r="N164" i="41"/>
  <c r="O165" i="41"/>
  <c r="M165" i="41"/>
  <c r="J169" i="3" s="1"/>
  <c r="L169" i="3" s="1"/>
  <c r="C288" i="3"/>
  <c r="A287" i="3"/>
  <c r="H260" i="3"/>
  <c r="L260" i="3" s="1"/>
  <c r="I259" i="3"/>
  <c r="F260" i="3"/>
  <c r="G260" i="3"/>
  <c r="D259" i="3"/>
  <c r="E260" i="3"/>
  <c r="S191" i="3"/>
  <c r="W50" i="3" l="1" a="1"/>
  <c r="W50" i="3" s="1"/>
  <c r="X49" i="3"/>
  <c r="X65" i="19" a="1"/>
  <c r="X65" i="19" s="1"/>
  <c r="Y64" i="19"/>
  <c r="O176" i="43"/>
  <c r="P177" i="43"/>
  <c r="N177" i="43"/>
  <c r="J181" i="19" s="1"/>
  <c r="N163" i="41"/>
  <c r="O164" i="41"/>
  <c r="M164" i="41"/>
  <c r="J168" i="3" s="1"/>
  <c r="L168" i="3" s="1"/>
  <c r="C289" i="3"/>
  <c r="A288" i="3"/>
  <c r="H261" i="3"/>
  <c r="L261" i="3" s="1"/>
  <c r="I260" i="3"/>
  <c r="F261" i="3"/>
  <c r="G261" i="3"/>
  <c r="D260" i="3"/>
  <c r="E261" i="3"/>
  <c r="W51" i="3" l="1" a="1"/>
  <c r="W51" i="3" s="1"/>
  <c r="X50" i="3"/>
  <c r="X66" i="19" a="1"/>
  <c r="X66" i="19" s="1"/>
  <c r="Y65" i="19"/>
  <c r="O175" i="43"/>
  <c r="P176" i="43"/>
  <c r="N176" i="43" s="1"/>
  <c r="J180" i="19" s="1"/>
  <c r="N162" i="41"/>
  <c r="O163" i="41"/>
  <c r="M163" i="41" s="1"/>
  <c r="J167" i="3" s="1"/>
  <c r="L167" i="3" s="1"/>
  <c r="C290" i="3"/>
  <c r="A289" i="3"/>
  <c r="H262" i="3"/>
  <c r="L262" i="3" s="1"/>
  <c r="I261" i="3"/>
  <c r="F262" i="3"/>
  <c r="G262" i="3"/>
  <c r="D261" i="3"/>
  <c r="E262" i="3"/>
  <c r="S190" i="3"/>
  <c r="W52" i="3" l="1" a="1"/>
  <c r="W52" i="3" s="1"/>
  <c r="X51" i="3"/>
  <c r="X67" i="19" a="1"/>
  <c r="X67" i="19" s="1"/>
  <c r="Y66" i="19"/>
  <c r="O174" i="43"/>
  <c r="P175" i="43"/>
  <c r="N175" i="43" s="1"/>
  <c r="J179" i="19" s="1"/>
  <c r="O162" i="41"/>
  <c r="N161" i="41"/>
  <c r="M162" i="41"/>
  <c r="J166" i="3" s="1"/>
  <c r="L166" i="3" s="1"/>
  <c r="C291" i="3"/>
  <c r="A290" i="3"/>
  <c r="H263" i="3"/>
  <c r="L263" i="3" s="1"/>
  <c r="I262" i="3"/>
  <c r="F263" i="3"/>
  <c r="G263" i="3"/>
  <c r="D262" i="3"/>
  <c r="E263" i="3"/>
  <c r="S188" i="3"/>
  <c r="S189" i="3" s="1"/>
  <c r="W53" i="3" l="1" a="1"/>
  <c r="W53" i="3" s="1"/>
  <c r="X52" i="3"/>
  <c r="X68" i="19" a="1"/>
  <c r="X68" i="19" s="1"/>
  <c r="Y67" i="19"/>
  <c r="O173" i="43"/>
  <c r="P174" i="43"/>
  <c r="N174" i="43" s="1"/>
  <c r="J178" i="19" s="1"/>
  <c r="O161" i="41"/>
  <c r="N160" i="41"/>
  <c r="M161" i="41"/>
  <c r="J165" i="3" s="1"/>
  <c r="L165" i="3" s="1"/>
  <c r="C292" i="3"/>
  <c r="A291" i="3"/>
  <c r="H264" i="3"/>
  <c r="L264" i="3" s="1"/>
  <c r="I263" i="3"/>
  <c r="F264" i="3"/>
  <c r="G264" i="3"/>
  <c r="D263" i="3"/>
  <c r="E264" i="3"/>
  <c r="S187" i="3"/>
  <c r="W54" i="3" l="1" a="1"/>
  <c r="W54" i="3" s="1"/>
  <c r="X53" i="3"/>
  <c r="X69" i="19" a="1"/>
  <c r="X69" i="19" s="1"/>
  <c r="Y68" i="19"/>
  <c r="O172" i="43"/>
  <c r="P173" i="43"/>
  <c r="N173" i="43" s="1"/>
  <c r="J177" i="19" s="1"/>
  <c r="O160" i="41"/>
  <c r="M160" i="41" s="1"/>
  <c r="J164" i="3" s="1"/>
  <c r="L164" i="3" s="1"/>
  <c r="N159" i="41"/>
  <c r="C293" i="3"/>
  <c r="A292" i="3"/>
  <c r="H265" i="3"/>
  <c r="L265" i="3" s="1"/>
  <c r="I264" i="3"/>
  <c r="F265" i="3"/>
  <c r="G265" i="3"/>
  <c r="D264" i="3"/>
  <c r="E265" i="3"/>
  <c r="S186" i="3"/>
  <c r="W55" i="3" l="1" a="1"/>
  <c r="W55" i="3" s="1"/>
  <c r="X54" i="3"/>
  <c r="X70" i="19" a="1"/>
  <c r="X70" i="19" s="1"/>
  <c r="Y69" i="19"/>
  <c r="O171" i="43"/>
  <c r="P172" i="43"/>
  <c r="N172" i="43" s="1"/>
  <c r="J176" i="19" s="1"/>
  <c r="N158" i="41"/>
  <c r="O159" i="41"/>
  <c r="M159" i="41"/>
  <c r="J163" i="3" s="1"/>
  <c r="L163" i="3" s="1"/>
  <c r="C294" i="3"/>
  <c r="A293" i="3"/>
  <c r="H266" i="3"/>
  <c r="L266" i="3" s="1"/>
  <c r="I265" i="3"/>
  <c r="F266" i="3"/>
  <c r="G266" i="3"/>
  <c r="D265" i="3"/>
  <c r="E266" i="3"/>
  <c r="W56" i="3" l="1" a="1"/>
  <c r="W56" i="3" s="1"/>
  <c r="X55" i="3"/>
  <c r="X71" i="19" a="1"/>
  <c r="X71" i="19" s="1"/>
  <c r="Y70" i="19"/>
  <c r="O170" i="43"/>
  <c r="P171" i="43"/>
  <c r="N171" i="43" s="1"/>
  <c r="J175" i="19" s="1"/>
  <c r="O158" i="41"/>
  <c r="M158" i="41" s="1"/>
  <c r="J162" i="3" s="1"/>
  <c r="L162" i="3" s="1"/>
  <c r="N157" i="41"/>
  <c r="C295" i="3"/>
  <c r="A294" i="3"/>
  <c r="H267" i="3"/>
  <c r="L267" i="3" s="1"/>
  <c r="I266" i="3"/>
  <c r="F267" i="3"/>
  <c r="G267" i="3"/>
  <c r="D266" i="3"/>
  <c r="E267" i="3"/>
  <c r="S185" i="3"/>
  <c r="W57" i="3" l="1" a="1"/>
  <c r="W57" i="3" s="1"/>
  <c r="X56" i="3"/>
  <c r="X72" i="19" a="1"/>
  <c r="X72" i="19" s="1"/>
  <c r="Y71" i="19"/>
  <c r="O169" i="43"/>
  <c r="P170" i="43"/>
  <c r="N170" i="43" s="1"/>
  <c r="J174" i="19" s="1"/>
  <c r="O157" i="41"/>
  <c r="M157" i="41" s="1"/>
  <c r="J161" i="3" s="1"/>
  <c r="L161" i="3" s="1"/>
  <c r="N156" i="41"/>
  <c r="C296" i="3"/>
  <c r="A295" i="3"/>
  <c r="H268" i="3"/>
  <c r="L268" i="3" s="1"/>
  <c r="I267" i="3"/>
  <c r="F268" i="3"/>
  <c r="G268" i="3"/>
  <c r="D267" i="3"/>
  <c r="E268" i="3"/>
  <c r="W58" i="3" l="1" a="1"/>
  <c r="W58" i="3" s="1"/>
  <c r="X57" i="3"/>
  <c r="X73" i="19" a="1"/>
  <c r="X73" i="19" s="1"/>
  <c r="Y72" i="19"/>
  <c r="O168" i="43"/>
  <c r="P169" i="43"/>
  <c r="N169" i="43" s="1"/>
  <c r="J173" i="19" s="1"/>
  <c r="O156" i="41"/>
  <c r="N155" i="41"/>
  <c r="M156" i="41"/>
  <c r="J160" i="3" s="1"/>
  <c r="L160" i="3" s="1"/>
  <c r="C297" i="3"/>
  <c r="A296" i="3"/>
  <c r="H269" i="3"/>
  <c r="L269" i="3" s="1"/>
  <c r="I268" i="3"/>
  <c r="F269" i="3"/>
  <c r="G269" i="3"/>
  <c r="D268" i="3"/>
  <c r="E269" i="3"/>
  <c r="W59" i="3" l="1" a="1"/>
  <c r="W59" i="3" s="1"/>
  <c r="X58" i="3"/>
  <c r="X74" i="19" a="1"/>
  <c r="X74" i="19" s="1"/>
  <c r="Y73" i="19"/>
  <c r="O167" i="43"/>
  <c r="P168" i="43"/>
  <c r="N168" i="43" s="1"/>
  <c r="J172" i="19" s="1"/>
  <c r="O155" i="41"/>
  <c r="M155" i="41" s="1"/>
  <c r="J159" i="3" s="1"/>
  <c r="L159" i="3" s="1"/>
  <c r="N154" i="41"/>
  <c r="C298" i="3"/>
  <c r="A297" i="3"/>
  <c r="H270" i="3"/>
  <c r="L270" i="3" s="1"/>
  <c r="I269" i="3"/>
  <c r="F270" i="3"/>
  <c r="G270" i="3"/>
  <c r="D269" i="3"/>
  <c r="E270" i="3"/>
  <c r="S182" i="3"/>
  <c r="S183" i="3" s="1"/>
  <c r="S184" i="3" s="1"/>
  <c r="W60" i="3" l="1" a="1"/>
  <c r="W60" i="3" s="1"/>
  <c r="X59" i="3"/>
  <c r="X75" i="19" a="1"/>
  <c r="X75" i="19" s="1"/>
  <c r="Y74" i="19"/>
  <c r="O166" i="43"/>
  <c r="P167" i="43"/>
  <c r="N167" i="43" s="1"/>
  <c r="J171" i="19" s="1"/>
  <c r="O154" i="41"/>
  <c r="N153" i="41"/>
  <c r="M154" i="41"/>
  <c r="J158" i="3" s="1"/>
  <c r="L158" i="3" s="1"/>
  <c r="C299" i="3"/>
  <c r="A298" i="3"/>
  <c r="H271" i="3"/>
  <c r="L271" i="3" s="1"/>
  <c r="I270" i="3"/>
  <c r="F271" i="3"/>
  <c r="G271" i="3"/>
  <c r="D270" i="3"/>
  <c r="E271" i="3"/>
  <c r="S180" i="3"/>
  <c r="S181" i="3" s="1"/>
  <c r="W61" i="3" l="1" a="1"/>
  <c r="W61" i="3" s="1"/>
  <c r="X60" i="3"/>
  <c r="X76" i="19" a="1"/>
  <c r="X76" i="19" s="1"/>
  <c r="Y75" i="19"/>
  <c r="O165" i="43"/>
  <c r="P166" i="43"/>
  <c r="N166" i="43" s="1"/>
  <c r="J170" i="19" s="1"/>
  <c r="N152" i="41"/>
  <c r="O153" i="41"/>
  <c r="M153" i="41"/>
  <c r="J157" i="3" s="1"/>
  <c r="L157" i="3" s="1"/>
  <c r="C300" i="3"/>
  <c r="A299" i="3"/>
  <c r="H272" i="3"/>
  <c r="L272" i="3" s="1"/>
  <c r="I271" i="3"/>
  <c r="F272" i="3"/>
  <c r="G272" i="3"/>
  <c r="D271" i="3"/>
  <c r="E272" i="3"/>
  <c r="W62" i="3" l="1" a="1"/>
  <c r="W62" i="3" s="1"/>
  <c r="X61" i="3"/>
  <c r="X77" i="19" a="1"/>
  <c r="X77" i="19" s="1"/>
  <c r="Y76" i="19"/>
  <c r="O164" i="43"/>
  <c r="P165" i="43"/>
  <c r="N165" i="43" s="1"/>
  <c r="J169" i="19" s="1"/>
  <c r="N151" i="41"/>
  <c r="O152" i="41"/>
  <c r="M152" i="41" s="1"/>
  <c r="J156" i="3" s="1"/>
  <c r="L156" i="3" s="1"/>
  <c r="C301" i="3"/>
  <c r="A300" i="3"/>
  <c r="H273" i="3"/>
  <c r="L273" i="3" s="1"/>
  <c r="I272" i="3"/>
  <c r="F273" i="3"/>
  <c r="G273" i="3"/>
  <c r="D272" i="3"/>
  <c r="E273" i="3"/>
  <c r="S179" i="3"/>
  <c r="W63" i="3" l="1" a="1"/>
  <c r="W63" i="3" s="1"/>
  <c r="X62" i="3"/>
  <c r="X78" i="19" a="1"/>
  <c r="X78" i="19" s="1"/>
  <c r="Y77" i="19"/>
  <c r="O163" i="43"/>
  <c r="P164" i="43"/>
  <c r="N164" i="43" s="1"/>
  <c r="J168" i="19" s="1"/>
  <c r="N150" i="41"/>
  <c r="O151" i="41"/>
  <c r="M151" i="41" s="1"/>
  <c r="J155" i="3" s="1"/>
  <c r="L155" i="3" s="1"/>
  <c r="C302" i="3"/>
  <c r="A301" i="3"/>
  <c r="H274" i="3"/>
  <c r="L274" i="3" s="1"/>
  <c r="I273" i="3"/>
  <c r="F274" i="3"/>
  <c r="G274" i="3"/>
  <c r="D273" i="3"/>
  <c r="E274" i="3"/>
  <c r="W64" i="3" l="1" a="1"/>
  <c r="W64" i="3" s="1"/>
  <c r="X63" i="3"/>
  <c r="X79" i="19" a="1"/>
  <c r="X79" i="19" s="1"/>
  <c r="Y78" i="19"/>
  <c r="O162" i="43"/>
  <c r="P163" i="43"/>
  <c r="N163" i="43" s="1"/>
  <c r="J167" i="19" s="1"/>
  <c r="O150" i="41"/>
  <c r="M150" i="41" s="1"/>
  <c r="J154" i="3" s="1"/>
  <c r="L154" i="3" s="1"/>
  <c r="N149" i="41"/>
  <c r="C303" i="3"/>
  <c r="A302" i="3"/>
  <c r="H275" i="3"/>
  <c r="L275" i="3" s="1"/>
  <c r="I274" i="3"/>
  <c r="F275" i="3"/>
  <c r="G275" i="3"/>
  <c r="D274" i="3"/>
  <c r="E275" i="3"/>
  <c r="S177" i="3"/>
  <c r="S178" i="3" s="1"/>
  <c r="W65" i="3" l="1" a="1"/>
  <c r="W65" i="3" s="1"/>
  <c r="X64" i="3"/>
  <c r="X80" i="19" a="1"/>
  <c r="X80" i="19" s="1"/>
  <c r="Y79" i="19"/>
  <c r="O161" i="43"/>
  <c r="P162" i="43"/>
  <c r="N162" i="43" s="1"/>
  <c r="J166" i="19" s="1"/>
  <c r="N148" i="41"/>
  <c r="O149" i="41"/>
  <c r="M149" i="41" s="1"/>
  <c r="J153" i="3" s="1"/>
  <c r="L153" i="3" s="1"/>
  <c r="C304" i="3"/>
  <c r="A303" i="3"/>
  <c r="H276" i="3"/>
  <c r="L276" i="3" s="1"/>
  <c r="I275" i="3"/>
  <c r="F276" i="3"/>
  <c r="G276" i="3"/>
  <c r="D275" i="3"/>
  <c r="E276" i="3"/>
  <c r="S175" i="3"/>
  <c r="S176" i="3" s="1"/>
  <c r="W66" i="3" l="1" a="1"/>
  <c r="W66" i="3" s="1"/>
  <c r="X65" i="3"/>
  <c r="X81" i="19" a="1"/>
  <c r="X81" i="19" s="1"/>
  <c r="Y80" i="19"/>
  <c r="O160" i="43"/>
  <c r="P161" i="43"/>
  <c r="N161" i="43" s="1"/>
  <c r="J165" i="19" s="1"/>
  <c r="N147" i="41"/>
  <c r="O148" i="41"/>
  <c r="M148" i="41" s="1"/>
  <c r="J152" i="3" s="1"/>
  <c r="L152" i="3" s="1"/>
  <c r="C305" i="3"/>
  <c r="A304" i="3"/>
  <c r="H277" i="3"/>
  <c r="L277" i="3" s="1"/>
  <c r="I276" i="3"/>
  <c r="F277" i="3"/>
  <c r="G277" i="3"/>
  <c r="D276" i="3"/>
  <c r="E277" i="3"/>
  <c r="W67" i="3" l="1" a="1"/>
  <c r="W67" i="3" s="1"/>
  <c r="X66" i="3"/>
  <c r="X82" i="19" a="1"/>
  <c r="X82" i="19" s="1"/>
  <c r="Y81" i="19"/>
  <c r="O159" i="43"/>
  <c r="P160" i="43"/>
  <c r="N160" i="43" s="1"/>
  <c r="J164" i="19" s="1"/>
  <c r="O147" i="41"/>
  <c r="M147" i="41" s="1"/>
  <c r="J151" i="3" s="1"/>
  <c r="L151" i="3" s="1"/>
  <c r="N146" i="41"/>
  <c r="C306" i="3"/>
  <c r="A305" i="3"/>
  <c r="H278" i="3"/>
  <c r="L278" i="3" s="1"/>
  <c r="I277" i="3"/>
  <c r="F278" i="3"/>
  <c r="G278" i="3"/>
  <c r="D277" i="3"/>
  <c r="E278" i="3"/>
  <c r="W68" i="3" l="1" a="1"/>
  <c r="W68" i="3" s="1"/>
  <c r="X67" i="3"/>
  <c r="X83" i="19" a="1"/>
  <c r="X83" i="19" s="1"/>
  <c r="Y82" i="19"/>
  <c r="O158" i="43"/>
  <c r="P159" i="43"/>
  <c r="N159" i="43" s="1"/>
  <c r="J163" i="19" s="1"/>
  <c r="N145" i="41"/>
  <c r="O146" i="41"/>
  <c r="M146" i="41" s="1"/>
  <c r="J150" i="3" s="1"/>
  <c r="L150" i="3" s="1"/>
  <c r="C307" i="3"/>
  <c r="A306" i="3"/>
  <c r="H279" i="3"/>
  <c r="L279" i="3" s="1"/>
  <c r="I278" i="3"/>
  <c r="F279" i="3"/>
  <c r="G279" i="3"/>
  <c r="D278" i="3"/>
  <c r="E279" i="3"/>
  <c r="S174" i="3"/>
  <c r="W69" i="3" l="1" a="1"/>
  <c r="W69" i="3" s="1"/>
  <c r="X68" i="3"/>
  <c r="X84" i="19" a="1"/>
  <c r="X84" i="19" s="1"/>
  <c r="Y83" i="19"/>
  <c r="O157" i="43"/>
  <c r="P158" i="43"/>
  <c r="N158" i="43" s="1"/>
  <c r="J162" i="19" s="1"/>
  <c r="N144" i="41"/>
  <c r="O145" i="41"/>
  <c r="M145" i="41" s="1"/>
  <c r="J149" i="3" s="1"/>
  <c r="L149" i="3" s="1"/>
  <c r="C308" i="3"/>
  <c r="A307" i="3"/>
  <c r="H280" i="3"/>
  <c r="L280" i="3" s="1"/>
  <c r="I279" i="3"/>
  <c r="F280" i="3"/>
  <c r="G280" i="3"/>
  <c r="D279" i="3"/>
  <c r="E280" i="3"/>
  <c r="S172" i="3"/>
  <c r="S173" i="3" s="1"/>
  <c r="W70" i="3" l="1" a="1"/>
  <c r="W70" i="3" s="1"/>
  <c r="X69" i="3"/>
  <c r="X85" i="19" a="1"/>
  <c r="X85" i="19" s="1"/>
  <c r="Y84" i="19"/>
  <c r="O156" i="43"/>
  <c r="P157" i="43"/>
  <c r="N157" i="43" s="1"/>
  <c r="J161" i="19" s="1"/>
  <c r="N143" i="41"/>
  <c r="O144" i="41"/>
  <c r="M144" i="41" s="1"/>
  <c r="J148" i="3" s="1"/>
  <c r="L148" i="3" s="1"/>
  <c r="C309" i="3"/>
  <c r="A308" i="3"/>
  <c r="H281" i="3"/>
  <c r="L281" i="3" s="1"/>
  <c r="I280" i="3"/>
  <c r="F281" i="3"/>
  <c r="G281" i="3"/>
  <c r="D280" i="3"/>
  <c r="E281" i="3"/>
  <c r="W71" i="3" l="1" a="1"/>
  <c r="W71" i="3" s="1"/>
  <c r="X70" i="3"/>
  <c r="X86" i="19" a="1"/>
  <c r="X86" i="19" s="1"/>
  <c r="Y85" i="19"/>
  <c r="O155" i="43"/>
  <c r="P156" i="43"/>
  <c r="N156" i="43" s="1"/>
  <c r="J160" i="19" s="1"/>
  <c r="N142" i="41"/>
  <c r="O143" i="41"/>
  <c r="M143" i="41" s="1"/>
  <c r="J147" i="3" s="1"/>
  <c r="L147" i="3" s="1"/>
  <c r="C310" i="3"/>
  <c r="A309" i="3"/>
  <c r="H282" i="3"/>
  <c r="L282" i="3" s="1"/>
  <c r="I281" i="3"/>
  <c r="F282" i="3"/>
  <c r="G282" i="3"/>
  <c r="D281" i="3"/>
  <c r="E282" i="3"/>
  <c r="W72" i="3" l="1" a="1"/>
  <c r="W72" i="3" s="1"/>
  <c r="X71" i="3"/>
  <c r="X87" i="19" a="1"/>
  <c r="X87" i="19" s="1"/>
  <c r="Y86" i="19"/>
  <c r="O154" i="43"/>
  <c r="P155" i="43"/>
  <c r="N155" i="43" s="1"/>
  <c r="J159" i="19" s="1"/>
  <c r="N141" i="41"/>
  <c r="O142" i="41"/>
  <c r="M142" i="41" s="1"/>
  <c r="J146" i="3" s="1"/>
  <c r="L146" i="3" s="1"/>
  <c r="C311" i="3"/>
  <c r="A310" i="3"/>
  <c r="H283" i="3"/>
  <c r="L283" i="3" s="1"/>
  <c r="I282" i="3"/>
  <c r="F283" i="3"/>
  <c r="G283" i="3"/>
  <c r="D282" i="3"/>
  <c r="E283" i="3"/>
  <c r="S170" i="3"/>
  <c r="S171" i="3" s="1"/>
  <c r="W73" i="3" l="1" a="1"/>
  <c r="W73" i="3" s="1"/>
  <c r="X72" i="3"/>
  <c r="X88" i="19" a="1"/>
  <c r="X88" i="19" s="1"/>
  <c r="Y87" i="19"/>
  <c r="O153" i="43"/>
  <c r="P154" i="43"/>
  <c r="N154" i="43" s="1"/>
  <c r="J158" i="19" s="1"/>
  <c r="N140" i="41"/>
  <c r="O141" i="41"/>
  <c r="M141" i="41" s="1"/>
  <c r="J145" i="3" s="1"/>
  <c r="L145" i="3" s="1"/>
  <c r="C312" i="3"/>
  <c r="A311" i="3"/>
  <c r="H284" i="3"/>
  <c r="L284" i="3" s="1"/>
  <c r="I283" i="3"/>
  <c r="F284" i="3"/>
  <c r="G284" i="3"/>
  <c r="D283" i="3"/>
  <c r="E284" i="3"/>
  <c r="W74" i="3" l="1" a="1"/>
  <c r="W74" i="3" s="1"/>
  <c r="X73" i="3"/>
  <c r="X89" i="19" a="1"/>
  <c r="X89" i="19" s="1"/>
  <c r="Y88" i="19"/>
  <c r="O152" i="43"/>
  <c r="P153" i="43"/>
  <c r="N153" i="43" s="1"/>
  <c r="J157" i="19" s="1"/>
  <c r="N139" i="41"/>
  <c r="O140" i="41"/>
  <c r="M140" i="41" s="1"/>
  <c r="J144" i="3" s="1"/>
  <c r="L144" i="3" s="1"/>
  <c r="C313" i="3"/>
  <c r="A312" i="3"/>
  <c r="H285" i="3"/>
  <c r="L285" i="3" s="1"/>
  <c r="I284" i="3"/>
  <c r="F285" i="3"/>
  <c r="G285" i="3"/>
  <c r="D284" i="3"/>
  <c r="E285" i="3"/>
  <c r="S167" i="3"/>
  <c r="S168" i="3" s="1"/>
  <c r="S169" i="3" s="1"/>
  <c r="W75" i="3" l="1" a="1"/>
  <c r="W75" i="3" s="1"/>
  <c r="X74" i="3"/>
  <c r="X90" i="19" a="1"/>
  <c r="X90" i="19" s="1"/>
  <c r="Y89" i="19"/>
  <c r="O151" i="43"/>
  <c r="P152" i="43"/>
  <c r="N152" i="43" s="1"/>
  <c r="J156" i="19" s="1"/>
  <c r="N138" i="41"/>
  <c r="O139" i="41"/>
  <c r="M139" i="41" s="1"/>
  <c r="J143" i="3" s="1"/>
  <c r="L143" i="3" s="1"/>
  <c r="C314" i="3"/>
  <c r="A313" i="3"/>
  <c r="H286" i="3"/>
  <c r="L286" i="3" s="1"/>
  <c r="I285" i="3"/>
  <c r="F286" i="3"/>
  <c r="G286" i="3"/>
  <c r="D285" i="3"/>
  <c r="E286" i="3"/>
  <c r="S166" i="3"/>
  <c r="W76" i="3" l="1" a="1"/>
  <c r="W76" i="3" s="1"/>
  <c r="X75" i="3"/>
  <c r="X91" i="19" a="1"/>
  <c r="X91" i="19" s="1"/>
  <c r="Y90" i="19"/>
  <c r="O150" i="43"/>
  <c r="P151" i="43"/>
  <c r="N151" i="43" s="1"/>
  <c r="J155" i="19" s="1"/>
  <c r="O138" i="41"/>
  <c r="N137" i="41"/>
  <c r="M138" i="41"/>
  <c r="J142" i="3" s="1"/>
  <c r="L142" i="3" s="1"/>
  <c r="C315" i="3"/>
  <c r="A314" i="3"/>
  <c r="H287" i="3"/>
  <c r="L287" i="3" s="1"/>
  <c r="I286" i="3"/>
  <c r="F287" i="3"/>
  <c r="G287" i="3"/>
  <c r="D286" i="3"/>
  <c r="E287" i="3"/>
  <c r="S165" i="3"/>
  <c r="W77" i="3" l="1" a="1"/>
  <c r="W77" i="3" s="1"/>
  <c r="X76" i="3"/>
  <c r="X92" i="19" a="1"/>
  <c r="X92" i="19" s="1"/>
  <c r="Y91" i="19"/>
  <c r="O149" i="43"/>
  <c r="P150" i="43"/>
  <c r="N150" i="43" s="1"/>
  <c r="J154" i="19" s="1"/>
  <c r="O137" i="41"/>
  <c r="M137" i="41" s="1"/>
  <c r="J141" i="3" s="1"/>
  <c r="L141" i="3" s="1"/>
  <c r="N136" i="41"/>
  <c r="C316" i="3"/>
  <c r="A315" i="3"/>
  <c r="H288" i="3"/>
  <c r="L288" i="3" s="1"/>
  <c r="I287" i="3"/>
  <c r="F288" i="3"/>
  <c r="G288" i="3"/>
  <c r="D287" i="3"/>
  <c r="E288" i="3"/>
  <c r="W78" i="3" l="1" a="1"/>
  <c r="W78" i="3" s="1"/>
  <c r="X77" i="3"/>
  <c r="X93" i="19" a="1"/>
  <c r="X93" i="19" s="1"/>
  <c r="Y92" i="19"/>
  <c r="O148" i="43"/>
  <c r="P149" i="43"/>
  <c r="N149" i="43" s="1"/>
  <c r="J153" i="19" s="1"/>
  <c r="N135" i="41"/>
  <c r="O136" i="41"/>
  <c r="M136" i="41" s="1"/>
  <c r="J140" i="3" s="1"/>
  <c r="L140" i="3" s="1"/>
  <c r="C317" i="3"/>
  <c r="A316" i="3"/>
  <c r="H289" i="3"/>
  <c r="L289" i="3" s="1"/>
  <c r="I288" i="3"/>
  <c r="F289" i="3"/>
  <c r="G289" i="3"/>
  <c r="D288" i="3"/>
  <c r="E289" i="3"/>
  <c r="S164" i="3"/>
  <c r="W79" i="3" l="1" a="1"/>
  <c r="W79" i="3" s="1"/>
  <c r="X78" i="3"/>
  <c r="X94" i="19" a="1"/>
  <c r="X94" i="19" s="1"/>
  <c r="Y93" i="19"/>
  <c r="O147" i="43"/>
  <c r="P148" i="43"/>
  <c r="N148" i="43" s="1"/>
  <c r="J152" i="19" s="1"/>
  <c r="O135" i="41"/>
  <c r="N134" i="41"/>
  <c r="M135" i="41"/>
  <c r="J139" i="3" s="1"/>
  <c r="L139" i="3" s="1"/>
  <c r="C318" i="3"/>
  <c r="A317" i="3"/>
  <c r="H290" i="3"/>
  <c r="L290" i="3" s="1"/>
  <c r="I289" i="3"/>
  <c r="F290" i="3"/>
  <c r="G290" i="3"/>
  <c r="D289" i="3"/>
  <c r="E290" i="3"/>
  <c r="S162" i="3"/>
  <c r="S163" i="3" s="1"/>
  <c r="W80" i="3" l="1" a="1"/>
  <c r="W80" i="3" s="1"/>
  <c r="X79" i="3"/>
  <c r="X95" i="19" a="1"/>
  <c r="X95" i="19" s="1"/>
  <c r="Y94" i="19"/>
  <c r="O146" i="43"/>
  <c r="P147" i="43"/>
  <c r="N147" i="43" s="1"/>
  <c r="J151" i="19" s="1"/>
  <c r="O134" i="41"/>
  <c r="N133" i="41"/>
  <c r="M134" i="41"/>
  <c r="J138" i="3" s="1"/>
  <c r="L138" i="3" s="1"/>
  <c r="C319" i="3"/>
  <c r="A318" i="3"/>
  <c r="H291" i="3"/>
  <c r="L291" i="3" s="1"/>
  <c r="I290" i="3"/>
  <c r="F291" i="3"/>
  <c r="G291" i="3"/>
  <c r="D290" i="3"/>
  <c r="E291" i="3"/>
  <c r="S161" i="3"/>
  <c r="W81" i="3" l="1" a="1"/>
  <c r="W81" i="3" s="1"/>
  <c r="X80" i="3"/>
  <c r="X96" i="19" a="1"/>
  <c r="X96" i="19" s="1"/>
  <c r="Y95" i="19"/>
  <c r="O145" i="43"/>
  <c r="P146" i="43"/>
  <c r="N146" i="43" s="1"/>
  <c r="J150" i="19" s="1"/>
  <c r="N132" i="41"/>
  <c r="O133" i="41"/>
  <c r="M133" i="41" s="1"/>
  <c r="J137" i="3" s="1"/>
  <c r="L137" i="3" s="1"/>
  <c r="C320" i="3"/>
  <c r="A319" i="3"/>
  <c r="H292" i="3"/>
  <c r="L292" i="3" s="1"/>
  <c r="I291" i="3"/>
  <c r="F292" i="3"/>
  <c r="G292" i="3"/>
  <c r="D291" i="3"/>
  <c r="E292" i="3"/>
  <c r="W82" i="3" l="1" a="1"/>
  <c r="W82" i="3" s="1"/>
  <c r="X81" i="3"/>
  <c r="X97" i="19" a="1"/>
  <c r="X97" i="19" s="1"/>
  <c r="Y96" i="19"/>
  <c r="O144" i="43"/>
  <c r="P145" i="43"/>
  <c r="N145" i="43" s="1"/>
  <c r="J149" i="19" s="1"/>
  <c r="N131" i="41"/>
  <c r="O132" i="41"/>
  <c r="M132" i="41"/>
  <c r="J136" i="3" s="1"/>
  <c r="L136" i="3" s="1"/>
  <c r="C321" i="3"/>
  <c r="A320" i="3"/>
  <c r="H293" i="3"/>
  <c r="L293" i="3" s="1"/>
  <c r="I292" i="3"/>
  <c r="F293" i="3"/>
  <c r="G293" i="3"/>
  <c r="D292" i="3"/>
  <c r="E293" i="3"/>
  <c r="S160" i="3"/>
  <c r="W83" i="3" l="1" a="1"/>
  <c r="W83" i="3" s="1"/>
  <c r="X82" i="3"/>
  <c r="X98" i="19" a="1"/>
  <c r="X98" i="19" s="1"/>
  <c r="Y97" i="19"/>
  <c r="O143" i="43"/>
  <c r="P144" i="43"/>
  <c r="N144" i="43" s="1"/>
  <c r="J148" i="19" s="1"/>
  <c r="O131" i="41"/>
  <c r="N130" i="41"/>
  <c r="M131" i="41"/>
  <c r="J135" i="3" s="1"/>
  <c r="L135" i="3" s="1"/>
  <c r="C322" i="3"/>
  <c r="A321" i="3"/>
  <c r="H294" i="3"/>
  <c r="L294" i="3" s="1"/>
  <c r="I293" i="3"/>
  <c r="F294" i="3"/>
  <c r="G294" i="3"/>
  <c r="D293" i="3"/>
  <c r="E294" i="3"/>
  <c r="W84" i="3" l="1" a="1"/>
  <c r="W84" i="3" s="1"/>
  <c r="X83" i="3"/>
  <c r="X99" i="19" a="1"/>
  <c r="X99" i="19" s="1"/>
  <c r="Y98" i="19"/>
  <c r="O142" i="43"/>
  <c r="P143" i="43"/>
  <c r="N143" i="43" s="1"/>
  <c r="J147" i="19" s="1"/>
  <c r="O130" i="41"/>
  <c r="M130" i="41" s="1"/>
  <c r="J134" i="3" s="1"/>
  <c r="L134" i="3" s="1"/>
  <c r="N129" i="41"/>
  <c r="C323" i="3"/>
  <c r="A322" i="3"/>
  <c r="H295" i="3"/>
  <c r="L295" i="3" s="1"/>
  <c r="I294" i="3"/>
  <c r="F295" i="3"/>
  <c r="G295" i="3"/>
  <c r="D294" i="3"/>
  <c r="E295" i="3"/>
  <c r="S158" i="3"/>
  <c r="S159" i="3" s="1"/>
  <c r="W85" i="3" l="1" a="1"/>
  <c r="W85" i="3" s="1"/>
  <c r="X84" i="3"/>
  <c r="X100" i="19" a="1"/>
  <c r="X100" i="19" s="1"/>
  <c r="Y99" i="19"/>
  <c r="O141" i="43"/>
  <c r="P142" i="43"/>
  <c r="N142" i="43" s="1"/>
  <c r="J146" i="19" s="1"/>
  <c r="N128" i="41"/>
  <c r="O129" i="41"/>
  <c r="M129" i="41" s="1"/>
  <c r="J133" i="3" s="1"/>
  <c r="L133" i="3" s="1"/>
  <c r="C324" i="3"/>
  <c r="A323" i="3"/>
  <c r="H296" i="3"/>
  <c r="L296" i="3" s="1"/>
  <c r="I295" i="3"/>
  <c r="F296" i="3"/>
  <c r="G296" i="3"/>
  <c r="D295" i="3"/>
  <c r="E296" i="3"/>
  <c r="W86" i="3" l="1" a="1"/>
  <c r="W86" i="3" s="1"/>
  <c r="X85" i="3"/>
  <c r="X101" i="19" a="1"/>
  <c r="X101" i="19" s="1"/>
  <c r="Y100" i="19"/>
  <c r="O140" i="43"/>
  <c r="P141" i="43"/>
  <c r="N141" i="43" s="1"/>
  <c r="J145" i="19" s="1"/>
  <c r="O128" i="41"/>
  <c r="M128" i="41" s="1"/>
  <c r="J132" i="3" s="1"/>
  <c r="L132" i="3" s="1"/>
  <c r="N127" i="41"/>
  <c r="C325" i="3"/>
  <c r="A324" i="3"/>
  <c r="H297" i="3"/>
  <c r="L297" i="3" s="1"/>
  <c r="I296" i="3"/>
  <c r="F297" i="3"/>
  <c r="G297" i="3"/>
  <c r="D296" i="3"/>
  <c r="E297" i="3"/>
  <c r="W87" i="3" l="1" a="1"/>
  <c r="W87" i="3" s="1"/>
  <c r="X86" i="3"/>
  <c r="X102" i="19" a="1"/>
  <c r="X102" i="19" s="1"/>
  <c r="Y101" i="19"/>
  <c r="O139" i="43"/>
  <c r="P140" i="43"/>
  <c r="N140" i="43" s="1"/>
  <c r="J144" i="19" s="1"/>
  <c r="O127" i="41"/>
  <c r="M127" i="41" s="1"/>
  <c r="J131" i="3" s="1"/>
  <c r="L131" i="3" s="1"/>
  <c r="N126" i="41"/>
  <c r="C326" i="3"/>
  <c r="A325" i="3"/>
  <c r="H298" i="3"/>
  <c r="L298" i="3" s="1"/>
  <c r="I297" i="3"/>
  <c r="F298" i="3"/>
  <c r="G298" i="3"/>
  <c r="D297" i="3"/>
  <c r="E298" i="3"/>
  <c r="W88" i="3" l="1" a="1"/>
  <c r="W88" i="3" s="1"/>
  <c r="X87" i="3"/>
  <c r="X103" i="19" a="1"/>
  <c r="X103" i="19" s="1"/>
  <c r="Y102" i="19"/>
  <c r="O138" i="43"/>
  <c r="P139" i="43"/>
  <c r="N139" i="43" s="1"/>
  <c r="J143" i="19" s="1"/>
  <c r="O126" i="41"/>
  <c r="N125" i="41"/>
  <c r="M126" i="41"/>
  <c r="J130" i="3" s="1"/>
  <c r="L130" i="3" s="1"/>
  <c r="C327" i="3"/>
  <c r="A326" i="3"/>
  <c r="H299" i="3"/>
  <c r="L299" i="3" s="1"/>
  <c r="I298" i="3"/>
  <c r="F299" i="3"/>
  <c r="G299" i="3"/>
  <c r="D298" i="3"/>
  <c r="E299" i="3"/>
  <c r="W89" i="3" l="1" a="1"/>
  <c r="W89" i="3" s="1"/>
  <c r="X88" i="3"/>
  <c r="X104" i="19" a="1"/>
  <c r="X104" i="19" s="1"/>
  <c r="Y103" i="19"/>
  <c r="O137" i="43"/>
  <c r="P138" i="43"/>
  <c r="N138" i="43" s="1"/>
  <c r="J142" i="19" s="1"/>
  <c r="N124" i="41"/>
  <c r="O125" i="41"/>
  <c r="M125" i="41" s="1"/>
  <c r="J129" i="3" s="1"/>
  <c r="L129" i="3" s="1"/>
  <c r="C328" i="3"/>
  <c r="A327" i="3"/>
  <c r="H300" i="3"/>
  <c r="L300" i="3" s="1"/>
  <c r="I299" i="3"/>
  <c r="F300" i="3"/>
  <c r="G300" i="3"/>
  <c r="D299" i="3"/>
  <c r="E300" i="3"/>
  <c r="W90" i="3" l="1" a="1"/>
  <c r="W90" i="3" s="1"/>
  <c r="X89" i="3"/>
  <c r="X105" i="19" a="1"/>
  <c r="X105" i="19" s="1"/>
  <c r="Y104" i="19"/>
  <c r="O136" i="43"/>
  <c r="P137" i="43"/>
  <c r="N137" i="43" s="1"/>
  <c r="J141" i="19" s="1"/>
  <c r="O124" i="41"/>
  <c r="N123" i="41"/>
  <c r="M124" i="41"/>
  <c r="J128" i="3" s="1"/>
  <c r="L128" i="3" s="1"/>
  <c r="C329" i="3"/>
  <c r="A328" i="3"/>
  <c r="H301" i="3"/>
  <c r="L301" i="3" s="1"/>
  <c r="I300" i="3"/>
  <c r="F301" i="3"/>
  <c r="G301" i="3"/>
  <c r="D300" i="3"/>
  <c r="E301" i="3"/>
  <c r="W91" i="3" l="1" a="1"/>
  <c r="W91" i="3" s="1"/>
  <c r="X90" i="3"/>
  <c r="X106" i="19" a="1"/>
  <c r="X106" i="19" s="1"/>
  <c r="Y105" i="19"/>
  <c r="O135" i="43"/>
  <c r="P136" i="43"/>
  <c r="N136" i="43" s="1"/>
  <c r="J140" i="19" s="1"/>
  <c r="N122" i="41"/>
  <c r="O123" i="41"/>
  <c r="M123" i="41"/>
  <c r="J127" i="3" s="1"/>
  <c r="L127" i="3" s="1"/>
  <c r="C330" i="3"/>
  <c r="A329" i="3"/>
  <c r="H302" i="3"/>
  <c r="L302" i="3" s="1"/>
  <c r="I301" i="3"/>
  <c r="F302" i="3"/>
  <c r="G302" i="3"/>
  <c r="D301" i="3"/>
  <c r="E302" i="3"/>
  <c r="W92" i="3" l="1" a="1"/>
  <c r="W92" i="3" s="1"/>
  <c r="X91" i="3"/>
  <c r="X107" i="19" a="1"/>
  <c r="X107" i="19" s="1"/>
  <c r="Y106" i="19"/>
  <c r="O134" i="43"/>
  <c r="P135" i="43"/>
  <c r="N135" i="43" s="1"/>
  <c r="J139" i="19" s="1"/>
  <c r="O122" i="41"/>
  <c r="M122" i="41" s="1"/>
  <c r="J126" i="3" s="1"/>
  <c r="L126" i="3" s="1"/>
  <c r="N121" i="41"/>
  <c r="C331" i="3"/>
  <c r="A330" i="3"/>
  <c r="H303" i="3"/>
  <c r="L303" i="3" s="1"/>
  <c r="I302" i="3"/>
  <c r="F303" i="3"/>
  <c r="G303" i="3"/>
  <c r="D302" i="3"/>
  <c r="E303" i="3"/>
  <c r="W93" i="3" l="1" a="1"/>
  <c r="W93" i="3" s="1"/>
  <c r="X92" i="3"/>
  <c r="X108" i="19" a="1"/>
  <c r="X108" i="19" s="1"/>
  <c r="Y107" i="19"/>
  <c r="O133" i="43"/>
  <c r="P134" i="43"/>
  <c r="N134" i="43" s="1"/>
  <c r="J138" i="19" s="1"/>
  <c r="N120" i="41"/>
  <c r="O121" i="41"/>
  <c r="M121" i="41" s="1"/>
  <c r="J125" i="3" s="1"/>
  <c r="L125" i="3" s="1"/>
  <c r="C332" i="3"/>
  <c r="A331" i="3"/>
  <c r="H304" i="3"/>
  <c r="L304" i="3" s="1"/>
  <c r="I303" i="3"/>
  <c r="F304" i="3"/>
  <c r="G304" i="3"/>
  <c r="D303" i="3"/>
  <c r="E304" i="3"/>
  <c r="W94" i="3" l="1" a="1"/>
  <c r="W94" i="3" s="1"/>
  <c r="X93" i="3"/>
  <c r="X109" i="19" a="1"/>
  <c r="X109" i="19" s="1"/>
  <c r="Y108" i="19"/>
  <c r="O132" i="43"/>
  <c r="P133" i="43"/>
  <c r="N133" i="43" s="1"/>
  <c r="J137" i="19" s="1"/>
  <c r="O120" i="41"/>
  <c r="M120" i="41" s="1"/>
  <c r="J124" i="3" s="1"/>
  <c r="L124" i="3" s="1"/>
  <c r="N119" i="41"/>
  <c r="C333" i="3"/>
  <c r="A332" i="3"/>
  <c r="H305" i="3"/>
  <c r="L305" i="3" s="1"/>
  <c r="I304" i="3"/>
  <c r="F305" i="3"/>
  <c r="G305" i="3"/>
  <c r="D304" i="3"/>
  <c r="E305" i="3"/>
  <c r="W95" i="3" l="1" a="1"/>
  <c r="W95" i="3" s="1"/>
  <c r="X94" i="3"/>
  <c r="X110" i="19" a="1"/>
  <c r="X110" i="19" s="1"/>
  <c r="Y109" i="19"/>
  <c r="O131" i="43"/>
  <c r="P132" i="43"/>
  <c r="N132" i="43"/>
  <c r="J136" i="19" s="1"/>
  <c r="N118" i="41"/>
  <c r="O119" i="41"/>
  <c r="M119" i="41" s="1"/>
  <c r="J123" i="3" s="1"/>
  <c r="L123" i="3" s="1"/>
  <c r="C334" i="3"/>
  <c r="A333" i="3"/>
  <c r="H306" i="3"/>
  <c r="L306" i="3" s="1"/>
  <c r="I305" i="3"/>
  <c r="F306" i="3"/>
  <c r="G306" i="3"/>
  <c r="D305" i="3"/>
  <c r="E306" i="3"/>
  <c r="W96" i="3" l="1" a="1"/>
  <c r="W96" i="3" s="1"/>
  <c r="X95" i="3"/>
  <c r="X111" i="19" a="1"/>
  <c r="X111" i="19" s="1"/>
  <c r="Y110" i="19"/>
  <c r="O130" i="43"/>
  <c r="P131" i="43"/>
  <c r="N131" i="43" s="1"/>
  <c r="J135" i="19" s="1"/>
  <c r="N117" i="41"/>
  <c r="O118" i="41"/>
  <c r="M118" i="41" s="1"/>
  <c r="J122" i="3" s="1"/>
  <c r="L122" i="3" s="1"/>
  <c r="C335" i="3"/>
  <c r="A334" i="3"/>
  <c r="H307" i="3"/>
  <c r="L307" i="3" s="1"/>
  <c r="I306" i="3"/>
  <c r="F307" i="3"/>
  <c r="G307" i="3"/>
  <c r="D306" i="3"/>
  <c r="E307" i="3"/>
  <c r="W97" i="3" l="1" a="1"/>
  <c r="W97" i="3" s="1"/>
  <c r="X96" i="3"/>
  <c r="X112" i="19" a="1"/>
  <c r="X112" i="19" s="1"/>
  <c r="Y111" i="19"/>
  <c r="O129" i="43"/>
  <c r="P130" i="43"/>
  <c r="N130" i="43" s="1"/>
  <c r="J134" i="19" s="1"/>
  <c r="N116" i="41"/>
  <c r="O117" i="41"/>
  <c r="M117" i="41" s="1"/>
  <c r="J121" i="3" s="1"/>
  <c r="L121" i="3" s="1"/>
  <c r="C336" i="3"/>
  <c r="A335" i="3"/>
  <c r="H308" i="3"/>
  <c r="L308" i="3" s="1"/>
  <c r="I307" i="3"/>
  <c r="F308" i="3"/>
  <c r="G308" i="3"/>
  <c r="D307" i="3"/>
  <c r="E308" i="3"/>
  <c r="W98" i="3" l="1" a="1"/>
  <c r="W98" i="3" s="1"/>
  <c r="X97" i="3"/>
  <c r="X113" i="19" a="1"/>
  <c r="X113" i="19" s="1"/>
  <c r="Y112" i="19"/>
  <c r="O128" i="43"/>
  <c r="P129" i="43"/>
  <c r="N129" i="43" s="1"/>
  <c r="J133" i="19" s="1"/>
  <c r="O116" i="41"/>
  <c r="M116" i="41" s="1"/>
  <c r="J120" i="3" s="1"/>
  <c r="L120" i="3" s="1"/>
  <c r="N115" i="41"/>
  <c r="C337" i="3"/>
  <c r="A336" i="3"/>
  <c r="H309" i="3"/>
  <c r="L309" i="3" s="1"/>
  <c r="I308" i="3"/>
  <c r="F309" i="3"/>
  <c r="G309" i="3"/>
  <c r="D308" i="3"/>
  <c r="E309" i="3"/>
  <c r="W99" i="3" l="1" a="1"/>
  <c r="W99" i="3" s="1"/>
  <c r="X98" i="3"/>
  <c r="X114" i="19" a="1"/>
  <c r="X114" i="19" s="1"/>
  <c r="Y113" i="19"/>
  <c r="O127" i="43"/>
  <c r="P128" i="43"/>
  <c r="N128" i="43" s="1"/>
  <c r="J132" i="19" s="1"/>
  <c r="O115" i="41"/>
  <c r="M115" i="41" s="1"/>
  <c r="J119" i="3" s="1"/>
  <c r="L119" i="3" s="1"/>
  <c r="N114" i="41"/>
  <c r="C338" i="3"/>
  <c r="A337" i="3"/>
  <c r="H310" i="3"/>
  <c r="L310" i="3" s="1"/>
  <c r="I309" i="3"/>
  <c r="F310" i="3"/>
  <c r="G310" i="3"/>
  <c r="D309" i="3"/>
  <c r="E310" i="3"/>
  <c r="W100" i="3" l="1" a="1"/>
  <c r="W100" i="3" s="1"/>
  <c r="X99" i="3"/>
  <c r="X115" i="19" a="1"/>
  <c r="X115" i="19" s="1"/>
  <c r="Y114" i="19"/>
  <c r="O126" i="43"/>
  <c r="P127" i="43"/>
  <c r="N127" i="43" s="1"/>
  <c r="J131" i="19" s="1"/>
  <c r="O114" i="41"/>
  <c r="M114" i="41" s="1"/>
  <c r="J118" i="3" s="1"/>
  <c r="L118" i="3" s="1"/>
  <c r="N113" i="41"/>
  <c r="C339" i="3"/>
  <c r="A338" i="3"/>
  <c r="H311" i="3"/>
  <c r="L311" i="3" s="1"/>
  <c r="I310" i="3"/>
  <c r="F311" i="3"/>
  <c r="G311" i="3"/>
  <c r="D310" i="3"/>
  <c r="E311" i="3"/>
  <c r="W101" i="3" l="1" a="1"/>
  <c r="W101" i="3" s="1"/>
  <c r="X100" i="3"/>
  <c r="X116" i="19" a="1"/>
  <c r="X116" i="19" s="1"/>
  <c r="Y115" i="19"/>
  <c r="O125" i="43"/>
  <c r="P126" i="43"/>
  <c r="N126" i="43" s="1"/>
  <c r="J130" i="19" s="1"/>
  <c r="O113" i="41"/>
  <c r="M113" i="41" s="1"/>
  <c r="J117" i="3" s="1"/>
  <c r="L117" i="3" s="1"/>
  <c r="N112" i="41"/>
  <c r="C340" i="3"/>
  <c r="A339" i="3"/>
  <c r="H312" i="3"/>
  <c r="L312" i="3" s="1"/>
  <c r="I311" i="3"/>
  <c r="F312" i="3"/>
  <c r="G312" i="3"/>
  <c r="D311" i="3"/>
  <c r="E312" i="3"/>
  <c r="W102" i="3" l="1" a="1"/>
  <c r="W102" i="3" s="1"/>
  <c r="X101" i="3"/>
  <c r="X117" i="19" a="1"/>
  <c r="X117" i="19" s="1"/>
  <c r="Y116" i="19"/>
  <c r="O124" i="43"/>
  <c r="P125" i="43"/>
  <c r="N125" i="43" s="1"/>
  <c r="J129" i="19" s="1"/>
  <c r="N111" i="41"/>
  <c r="O112" i="41"/>
  <c r="M112" i="41" s="1"/>
  <c r="J116" i="3" s="1"/>
  <c r="L116" i="3" s="1"/>
  <c r="C341" i="3"/>
  <c r="A340" i="3"/>
  <c r="H313" i="3"/>
  <c r="L313" i="3" s="1"/>
  <c r="I312" i="3"/>
  <c r="F313" i="3"/>
  <c r="G313" i="3"/>
  <c r="D312" i="3"/>
  <c r="E313" i="3"/>
  <c r="W103" i="3" l="1" a="1"/>
  <c r="W103" i="3" s="1"/>
  <c r="X102" i="3"/>
  <c r="X118" i="19" a="1"/>
  <c r="X118" i="19" s="1"/>
  <c r="Y117" i="19"/>
  <c r="O123" i="43"/>
  <c r="P124" i="43"/>
  <c r="N124" i="43" s="1"/>
  <c r="J128" i="19" s="1"/>
  <c r="O111" i="41"/>
  <c r="M111" i="41" s="1"/>
  <c r="J115" i="3" s="1"/>
  <c r="L115" i="3" s="1"/>
  <c r="N110" i="41"/>
  <c r="C342" i="3"/>
  <c r="A341" i="3"/>
  <c r="H314" i="3"/>
  <c r="L314" i="3" s="1"/>
  <c r="I313" i="3"/>
  <c r="F314" i="3"/>
  <c r="G314" i="3"/>
  <c r="D313" i="3"/>
  <c r="E314" i="3"/>
  <c r="W104" i="3" l="1" a="1"/>
  <c r="W104" i="3" s="1"/>
  <c r="X103" i="3"/>
  <c r="X119" i="19" a="1"/>
  <c r="X119" i="19" s="1"/>
  <c r="Y118" i="19"/>
  <c r="O122" i="43"/>
  <c r="P123" i="43"/>
  <c r="N123" i="43" s="1"/>
  <c r="J127" i="19" s="1"/>
  <c r="O110" i="41"/>
  <c r="M110" i="41" s="1"/>
  <c r="J114" i="3" s="1"/>
  <c r="L114" i="3" s="1"/>
  <c r="N109" i="41"/>
  <c r="C343" i="3"/>
  <c r="A342" i="3"/>
  <c r="H315" i="3"/>
  <c r="L315" i="3" s="1"/>
  <c r="I314" i="3"/>
  <c r="F315" i="3"/>
  <c r="G315" i="3"/>
  <c r="D314" i="3"/>
  <c r="E315" i="3"/>
  <c r="W105" i="3" l="1" a="1"/>
  <c r="W105" i="3" s="1"/>
  <c r="X104" i="3"/>
  <c r="X120" i="19" a="1"/>
  <c r="X120" i="19" s="1"/>
  <c r="Y119" i="19"/>
  <c r="O121" i="43"/>
  <c r="P122" i="43"/>
  <c r="N122" i="43" s="1"/>
  <c r="J126" i="19" s="1"/>
  <c r="N108" i="41"/>
  <c r="O109" i="41"/>
  <c r="M109" i="41" s="1"/>
  <c r="J113" i="3" s="1"/>
  <c r="L113" i="3" s="1"/>
  <c r="C344" i="3"/>
  <c r="A343" i="3"/>
  <c r="H316" i="3"/>
  <c r="L316" i="3" s="1"/>
  <c r="I315" i="3"/>
  <c r="F316" i="3"/>
  <c r="G316" i="3"/>
  <c r="D315" i="3"/>
  <c r="E316" i="3"/>
  <c r="W106" i="3" l="1" a="1"/>
  <c r="W106" i="3" s="1"/>
  <c r="X105" i="3"/>
  <c r="X121" i="19" a="1"/>
  <c r="X121" i="19" s="1"/>
  <c r="Y120" i="19"/>
  <c r="O120" i="43"/>
  <c r="P121" i="43"/>
  <c r="N121" i="43" s="1"/>
  <c r="J125" i="19" s="1"/>
  <c r="N107" i="41"/>
  <c r="O108" i="41"/>
  <c r="M108" i="41" s="1"/>
  <c r="J112" i="3" s="1"/>
  <c r="L112" i="3" s="1"/>
  <c r="C345" i="3"/>
  <c r="A344" i="3"/>
  <c r="H317" i="3"/>
  <c r="L317" i="3" s="1"/>
  <c r="I316" i="3"/>
  <c r="F317" i="3"/>
  <c r="G317" i="3"/>
  <c r="D316" i="3"/>
  <c r="E317" i="3"/>
  <c r="W107" i="3" l="1" a="1"/>
  <c r="W107" i="3" s="1"/>
  <c r="X106" i="3"/>
  <c r="X122" i="19" a="1"/>
  <c r="X122" i="19" s="1"/>
  <c r="Y121" i="19"/>
  <c r="O119" i="43"/>
  <c r="P120" i="43"/>
  <c r="N120" i="43" s="1"/>
  <c r="J124" i="19" s="1"/>
  <c r="N106" i="41"/>
  <c r="O107" i="41"/>
  <c r="M107" i="41" s="1"/>
  <c r="J111" i="3" s="1"/>
  <c r="L111" i="3" s="1"/>
  <c r="C346" i="3"/>
  <c r="A345" i="3"/>
  <c r="H318" i="3"/>
  <c r="L318" i="3" s="1"/>
  <c r="I317" i="3"/>
  <c r="F318" i="3"/>
  <c r="G318" i="3"/>
  <c r="D317" i="3"/>
  <c r="E318" i="3"/>
  <c r="W108" i="3" l="1" a="1"/>
  <c r="W108" i="3" s="1"/>
  <c r="X107" i="3"/>
  <c r="X123" i="19" a="1"/>
  <c r="X123" i="19" s="1"/>
  <c r="Y122" i="19"/>
  <c r="O118" i="43"/>
  <c r="P119" i="43"/>
  <c r="N119" i="43" s="1"/>
  <c r="J123" i="19" s="1"/>
  <c r="N105" i="41"/>
  <c r="O106" i="41"/>
  <c r="M106" i="41" s="1"/>
  <c r="J110" i="3" s="1"/>
  <c r="L110" i="3" s="1"/>
  <c r="C347" i="3"/>
  <c r="A346" i="3"/>
  <c r="H319" i="3"/>
  <c r="L319" i="3" s="1"/>
  <c r="I318" i="3"/>
  <c r="F319" i="3"/>
  <c r="G319" i="3"/>
  <c r="D318" i="3"/>
  <c r="E319" i="3"/>
  <c r="W109" i="3" l="1" a="1"/>
  <c r="W109" i="3" s="1"/>
  <c r="X108" i="3"/>
  <c r="X124" i="19" a="1"/>
  <c r="X124" i="19" s="1"/>
  <c r="Y123" i="19"/>
  <c r="O117" i="43"/>
  <c r="P118" i="43"/>
  <c r="N118" i="43" s="1"/>
  <c r="J122" i="19" s="1"/>
  <c r="N104" i="41"/>
  <c r="O105" i="41"/>
  <c r="M105" i="41" s="1"/>
  <c r="J109" i="3" s="1"/>
  <c r="L109" i="3" s="1"/>
  <c r="C348" i="3"/>
  <c r="A347" i="3"/>
  <c r="H320" i="3"/>
  <c r="L320" i="3" s="1"/>
  <c r="I319" i="3"/>
  <c r="F320" i="3"/>
  <c r="G320" i="3"/>
  <c r="D319" i="3"/>
  <c r="E320" i="3"/>
  <c r="W110" i="3" l="1" a="1"/>
  <c r="W110" i="3" s="1"/>
  <c r="X109" i="3"/>
  <c r="X125" i="19" a="1"/>
  <c r="X125" i="19" s="1"/>
  <c r="Y124" i="19"/>
  <c r="O116" i="43"/>
  <c r="P117" i="43"/>
  <c r="N117" i="43" s="1"/>
  <c r="J121" i="19" s="1"/>
  <c r="N103" i="41"/>
  <c r="O104" i="41"/>
  <c r="M104" i="41" s="1"/>
  <c r="J108" i="3" s="1"/>
  <c r="L108" i="3" s="1"/>
  <c r="C349" i="3"/>
  <c r="A348" i="3"/>
  <c r="H321" i="3"/>
  <c r="L321" i="3" s="1"/>
  <c r="I320" i="3"/>
  <c r="F321" i="3"/>
  <c r="G321" i="3"/>
  <c r="D320" i="3"/>
  <c r="E321" i="3"/>
  <c r="W111" i="3" l="1" a="1"/>
  <c r="W111" i="3" s="1"/>
  <c r="X110" i="3"/>
  <c r="X126" i="19" a="1"/>
  <c r="X126" i="19" s="1"/>
  <c r="Y125" i="19"/>
  <c r="O115" i="43"/>
  <c r="P116" i="43"/>
  <c r="N116" i="43" s="1"/>
  <c r="J120" i="19" s="1"/>
  <c r="N102" i="41"/>
  <c r="O103" i="41"/>
  <c r="M103" i="41" s="1"/>
  <c r="J107" i="3" s="1"/>
  <c r="L107" i="3" s="1"/>
  <c r="C350" i="3"/>
  <c r="A349" i="3"/>
  <c r="H322" i="3"/>
  <c r="L322" i="3" s="1"/>
  <c r="I321" i="3"/>
  <c r="F322" i="3"/>
  <c r="G322" i="3"/>
  <c r="D321" i="3"/>
  <c r="E322" i="3"/>
  <c r="W112" i="3" l="1" a="1"/>
  <c r="W112" i="3" s="1"/>
  <c r="X111" i="3"/>
  <c r="X127" i="19" a="1"/>
  <c r="X127" i="19" s="1"/>
  <c r="Y126" i="19"/>
  <c r="O114" i="43"/>
  <c r="P115" i="43"/>
  <c r="N115" i="43" s="1"/>
  <c r="J119" i="19" s="1"/>
  <c r="N101" i="41"/>
  <c r="O102" i="41"/>
  <c r="M102" i="41" s="1"/>
  <c r="J106" i="3" s="1"/>
  <c r="L106" i="3" s="1"/>
  <c r="C351" i="3"/>
  <c r="A350" i="3"/>
  <c r="H323" i="3"/>
  <c r="L323" i="3" s="1"/>
  <c r="I322" i="3"/>
  <c r="F323" i="3"/>
  <c r="G323" i="3"/>
  <c r="D322" i="3"/>
  <c r="E323" i="3"/>
  <c r="W113" i="3" l="1" a="1"/>
  <c r="W113" i="3" s="1"/>
  <c r="X112" i="3"/>
  <c r="X128" i="19" a="1"/>
  <c r="X128" i="19" s="1"/>
  <c r="Y127" i="19"/>
  <c r="O113" i="43"/>
  <c r="P114" i="43"/>
  <c r="N114" i="43" s="1"/>
  <c r="J118" i="19" s="1"/>
  <c r="N100" i="41"/>
  <c r="O101" i="41"/>
  <c r="M101" i="41" s="1"/>
  <c r="J105" i="3" s="1"/>
  <c r="L105" i="3" s="1"/>
  <c r="C352" i="3"/>
  <c r="A351" i="3"/>
  <c r="H324" i="3"/>
  <c r="L324" i="3" s="1"/>
  <c r="I323" i="3"/>
  <c r="F324" i="3"/>
  <c r="G324" i="3"/>
  <c r="D323" i="3"/>
  <c r="E324" i="3"/>
  <c r="W114" i="3" l="1" a="1"/>
  <c r="W114" i="3" s="1"/>
  <c r="X113" i="3"/>
  <c r="X129" i="19" a="1"/>
  <c r="X129" i="19" s="1"/>
  <c r="Y128" i="19"/>
  <c r="O112" i="43"/>
  <c r="P113" i="43"/>
  <c r="N113" i="43" s="1"/>
  <c r="J117" i="19" s="1"/>
  <c r="N99" i="41"/>
  <c r="O100" i="41"/>
  <c r="M100" i="41" s="1"/>
  <c r="J104" i="3" s="1"/>
  <c r="L104" i="3" s="1"/>
  <c r="C353" i="3"/>
  <c r="A352" i="3"/>
  <c r="H325" i="3"/>
  <c r="L325" i="3" s="1"/>
  <c r="I324" i="3"/>
  <c r="F325" i="3"/>
  <c r="G325" i="3"/>
  <c r="D324" i="3"/>
  <c r="E325" i="3"/>
  <c r="W115" i="3" l="1" a="1"/>
  <c r="W115" i="3" s="1"/>
  <c r="X114" i="3"/>
  <c r="X130" i="19" a="1"/>
  <c r="X130" i="19" s="1"/>
  <c r="Y129" i="19"/>
  <c r="O111" i="43"/>
  <c r="P112" i="43"/>
  <c r="N112" i="43" s="1"/>
  <c r="J116" i="19" s="1"/>
  <c r="N98" i="41"/>
  <c r="O99" i="41"/>
  <c r="M99" i="41" s="1"/>
  <c r="J103" i="3" s="1"/>
  <c r="L103" i="3" s="1"/>
  <c r="C354" i="3"/>
  <c r="A353" i="3"/>
  <c r="H326" i="3"/>
  <c r="L326" i="3" s="1"/>
  <c r="I325" i="3"/>
  <c r="F326" i="3"/>
  <c r="G326" i="3"/>
  <c r="D325" i="3"/>
  <c r="E326" i="3"/>
  <c r="W116" i="3" l="1" a="1"/>
  <c r="W116" i="3" s="1"/>
  <c r="X115" i="3"/>
  <c r="X131" i="19" a="1"/>
  <c r="X131" i="19" s="1"/>
  <c r="Y130" i="19"/>
  <c r="O110" i="43"/>
  <c r="P111" i="43"/>
  <c r="N111" i="43" s="1"/>
  <c r="J115" i="19" s="1"/>
  <c r="N97" i="41"/>
  <c r="O98" i="41"/>
  <c r="M98" i="41" s="1"/>
  <c r="J102" i="3" s="1"/>
  <c r="L102" i="3" s="1"/>
  <c r="A354" i="3"/>
  <c r="H327" i="3"/>
  <c r="L327" i="3" s="1"/>
  <c r="I326" i="3"/>
  <c r="F327" i="3"/>
  <c r="G327" i="3"/>
  <c r="D326" i="3"/>
  <c r="E327" i="3"/>
  <c r="W117" i="3" l="1" a="1"/>
  <c r="W117" i="3" s="1"/>
  <c r="X116" i="3"/>
  <c r="X132" i="19" a="1"/>
  <c r="X132" i="19" s="1"/>
  <c r="Y131" i="19"/>
  <c r="O109" i="43"/>
  <c r="P110" i="43"/>
  <c r="N110" i="43" s="1"/>
  <c r="J114" i="19" s="1"/>
  <c r="N96" i="41"/>
  <c r="O97" i="41"/>
  <c r="M97" i="41" s="1"/>
  <c r="J101" i="3" s="1"/>
  <c r="L101" i="3" s="1"/>
  <c r="H328" i="3"/>
  <c r="L328" i="3" s="1"/>
  <c r="I327" i="3"/>
  <c r="F328" i="3"/>
  <c r="G328" i="3"/>
  <c r="D327" i="3"/>
  <c r="E328" i="3"/>
  <c r="W118" i="3" l="1" a="1"/>
  <c r="W118" i="3" s="1"/>
  <c r="X117" i="3"/>
  <c r="X133" i="19" a="1"/>
  <c r="X133" i="19" s="1"/>
  <c r="Y132" i="19"/>
  <c r="O108" i="43"/>
  <c r="P109" i="43"/>
  <c r="N109" i="43" s="1"/>
  <c r="J113" i="19" s="1"/>
  <c r="O96" i="41"/>
  <c r="M96" i="41" s="1"/>
  <c r="J100" i="3" s="1"/>
  <c r="L100" i="3" s="1"/>
  <c r="N95" i="41"/>
  <c r="H329" i="3"/>
  <c r="L329" i="3" s="1"/>
  <c r="I328" i="3"/>
  <c r="F329" i="3"/>
  <c r="G329" i="3"/>
  <c r="D328" i="3"/>
  <c r="E329" i="3"/>
  <c r="W119" i="3" l="1" a="1"/>
  <c r="W119" i="3" s="1"/>
  <c r="X118" i="3"/>
  <c r="X134" i="19" a="1"/>
  <c r="X134" i="19" s="1"/>
  <c r="Y133" i="19"/>
  <c r="O107" i="43"/>
  <c r="P108" i="43"/>
  <c r="N108" i="43" s="1"/>
  <c r="J112" i="19" s="1"/>
  <c r="O95" i="41"/>
  <c r="M95" i="41" s="1"/>
  <c r="J99" i="3" s="1"/>
  <c r="L99" i="3" s="1"/>
  <c r="N94" i="41"/>
  <c r="H330" i="3"/>
  <c r="L330" i="3" s="1"/>
  <c r="I329" i="3"/>
  <c r="F330" i="3"/>
  <c r="G330" i="3"/>
  <c r="D329" i="3"/>
  <c r="E330" i="3"/>
  <c r="W120" i="3" l="1" a="1"/>
  <c r="W120" i="3" s="1"/>
  <c r="X119" i="3"/>
  <c r="X135" i="19" a="1"/>
  <c r="X135" i="19" s="1"/>
  <c r="Y134" i="19"/>
  <c r="O106" i="43"/>
  <c r="P107" i="43"/>
  <c r="N107" i="43" s="1"/>
  <c r="J111" i="19" s="1"/>
  <c r="N93" i="41"/>
  <c r="O94" i="41"/>
  <c r="M94" i="41" s="1"/>
  <c r="J98" i="3" s="1"/>
  <c r="H331" i="3"/>
  <c r="L331" i="3" s="1"/>
  <c r="I330" i="3"/>
  <c r="F331" i="3"/>
  <c r="G331" i="3"/>
  <c r="D330" i="3"/>
  <c r="E331" i="3"/>
  <c r="L98" i="3" l="1"/>
  <c r="W121" i="3" a="1"/>
  <c r="W121" i="3" s="1"/>
  <c r="X120" i="3"/>
  <c r="X136" i="19" a="1"/>
  <c r="X136" i="19" s="1"/>
  <c r="Y135" i="19"/>
  <c r="O105" i="43"/>
  <c r="P106" i="43"/>
  <c r="N106" i="43" s="1"/>
  <c r="J110" i="19" s="1"/>
  <c r="O93" i="41"/>
  <c r="M93" i="41" s="1"/>
  <c r="J97" i="3" s="1"/>
  <c r="L97" i="3" s="1"/>
  <c r="N92" i="41"/>
  <c r="H332" i="3"/>
  <c r="L332" i="3" s="1"/>
  <c r="I331" i="3"/>
  <c r="F332" i="3"/>
  <c r="G332" i="3"/>
  <c r="D331" i="3"/>
  <c r="E332" i="3"/>
  <c r="W122" i="3" l="1" a="1"/>
  <c r="W122" i="3" s="1"/>
  <c r="X121" i="3"/>
  <c r="X137" i="19" a="1"/>
  <c r="X137" i="19" s="1"/>
  <c r="Y136" i="19"/>
  <c r="O104" i="43"/>
  <c r="P105" i="43"/>
  <c r="N105" i="43" s="1"/>
  <c r="J109" i="19" s="1"/>
  <c r="N91" i="41"/>
  <c r="O92" i="41"/>
  <c r="M92" i="41" s="1"/>
  <c r="J96" i="3" s="1"/>
  <c r="L96" i="3" s="1"/>
  <c r="H333" i="3"/>
  <c r="L333" i="3" s="1"/>
  <c r="I332" i="3"/>
  <c r="F333" i="3"/>
  <c r="G333" i="3"/>
  <c r="D332" i="3"/>
  <c r="E333" i="3"/>
  <c r="W123" i="3" l="1" a="1"/>
  <c r="W123" i="3" s="1"/>
  <c r="X122" i="3"/>
  <c r="X138" i="19" a="1"/>
  <c r="X138" i="19" s="1"/>
  <c r="Y137" i="19"/>
  <c r="O103" i="43"/>
  <c r="P104" i="43"/>
  <c r="N104" i="43" s="1"/>
  <c r="J108" i="19" s="1"/>
  <c r="N90" i="41"/>
  <c r="O91" i="41"/>
  <c r="M91" i="41" s="1"/>
  <c r="J95" i="3" s="1"/>
  <c r="L95" i="3" s="1"/>
  <c r="H334" i="3"/>
  <c r="L334" i="3" s="1"/>
  <c r="I333" i="3"/>
  <c r="F334" i="3"/>
  <c r="G334" i="3"/>
  <c r="D333" i="3"/>
  <c r="E334" i="3"/>
  <c r="W124" i="3" l="1" a="1"/>
  <c r="W124" i="3" s="1"/>
  <c r="X123" i="3"/>
  <c r="X139" i="19" a="1"/>
  <c r="X139" i="19" s="1"/>
  <c r="Y138" i="19"/>
  <c r="O102" i="43"/>
  <c r="P103" i="43"/>
  <c r="N103" i="43" s="1"/>
  <c r="J107" i="19" s="1"/>
  <c r="O90" i="41"/>
  <c r="M90" i="41" s="1"/>
  <c r="J94" i="3" s="1"/>
  <c r="L94" i="3" s="1"/>
  <c r="N89" i="41"/>
  <c r="H335" i="3"/>
  <c r="L335" i="3" s="1"/>
  <c r="I334" i="3"/>
  <c r="F335" i="3"/>
  <c r="G335" i="3"/>
  <c r="D334" i="3"/>
  <c r="E335" i="3"/>
  <c r="W125" i="3" l="1" a="1"/>
  <c r="W125" i="3" s="1"/>
  <c r="X124" i="3"/>
  <c r="X140" i="19" a="1"/>
  <c r="X140" i="19" s="1"/>
  <c r="Y139" i="19"/>
  <c r="O101" i="43"/>
  <c r="P102" i="43"/>
  <c r="N102" i="43" s="1"/>
  <c r="J106" i="19" s="1"/>
  <c r="O89" i="41"/>
  <c r="M89" i="41" s="1"/>
  <c r="J93" i="3" s="1"/>
  <c r="L93" i="3" s="1"/>
  <c r="N88" i="41"/>
  <c r="H336" i="3"/>
  <c r="L336" i="3" s="1"/>
  <c r="I335" i="3"/>
  <c r="F336" i="3"/>
  <c r="G336" i="3"/>
  <c r="D335" i="3"/>
  <c r="E336" i="3"/>
  <c r="W126" i="3" l="1" a="1"/>
  <c r="W126" i="3" s="1"/>
  <c r="X125" i="3"/>
  <c r="X141" i="19" a="1"/>
  <c r="X141" i="19" s="1"/>
  <c r="Y140" i="19"/>
  <c r="O100" i="43"/>
  <c r="P101" i="43"/>
  <c r="N101" i="43" s="1"/>
  <c r="J105" i="19" s="1"/>
  <c r="N87" i="41"/>
  <c r="O88" i="41"/>
  <c r="M88" i="41" s="1"/>
  <c r="J92" i="3" s="1"/>
  <c r="L92" i="3" s="1"/>
  <c r="H337" i="3"/>
  <c r="L337" i="3" s="1"/>
  <c r="I336" i="3"/>
  <c r="F337" i="3"/>
  <c r="G337" i="3"/>
  <c r="D336" i="3"/>
  <c r="E337" i="3"/>
  <c r="W127" i="3" l="1" a="1"/>
  <c r="W127" i="3" s="1"/>
  <c r="X126" i="3"/>
  <c r="X142" i="19" a="1"/>
  <c r="X142" i="19" s="1"/>
  <c r="Y141" i="19"/>
  <c r="O99" i="43"/>
  <c r="P100" i="43"/>
  <c r="N100" i="43" s="1"/>
  <c r="J104" i="19" s="1"/>
  <c r="O87" i="41"/>
  <c r="M87" i="41" s="1"/>
  <c r="J91" i="3" s="1"/>
  <c r="L91" i="3" s="1"/>
  <c r="N86" i="41"/>
  <c r="H338" i="3"/>
  <c r="L338" i="3" s="1"/>
  <c r="I337" i="3"/>
  <c r="F338" i="3"/>
  <c r="G338" i="3"/>
  <c r="D337" i="3"/>
  <c r="E338" i="3"/>
  <c r="W128" i="3" l="1" a="1"/>
  <c r="W128" i="3" s="1"/>
  <c r="X127" i="3"/>
  <c r="X143" i="19" a="1"/>
  <c r="X143" i="19" s="1"/>
  <c r="Y142" i="19"/>
  <c r="O98" i="43"/>
  <c r="P99" i="43"/>
  <c r="N99" i="43" s="1"/>
  <c r="J103" i="19" s="1"/>
  <c r="N85" i="41"/>
  <c r="O86" i="41"/>
  <c r="M86" i="41" s="1"/>
  <c r="J90" i="3" s="1"/>
  <c r="L90" i="3" s="1"/>
  <c r="H339" i="3"/>
  <c r="L339" i="3" s="1"/>
  <c r="I338" i="3"/>
  <c r="F339" i="3"/>
  <c r="G339" i="3"/>
  <c r="D338" i="3"/>
  <c r="E339" i="3"/>
  <c r="W129" i="3" l="1" a="1"/>
  <c r="W129" i="3" s="1"/>
  <c r="X128" i="3"/>
  <c r="X144" i="19" a="1"/>
  <c r="X144" i="19" s="1"/>
  <c r="Y143" i="19"/>
  <c r="O97" i="43"/>
  <c r="P98" i="43"/>
  <c r="N98" i="43" s="1"/>
  <c r="J102" i="19" s="1"/>
  <c r="O85" i="41"/>
  <c r="M85" i="41" s="1"/>
  <c r="J89" i="3" s="1"/>
  <c r="L89" i="3" s="1"/>
  <c r="N84" i="41"/>
  <c r="H340" i="3"/>
  <c r="L340" i="3" s="1"/>
  <c r="I339" i="3"/>
  <c r="F340" i="3"/>
  <c r="G340" i="3"/>
  <c r="D339" i="3"/>
  <c r="E340" i="3"/>
  <c r="W130" i="3" l="1" a="1"/>
  <c r="W130" i="3" s="1"/>
  <c r="X129" i="3"/>
  <c r="X145" i="19" a="1"/>
  <c r="X145" i="19" s="1"/>
  <c r="Y144" i="19"/>
  <c r="O96" i="43"/>
  <c r="P97" i="43"/>
  <c r="N97" i="43" s="1"/>
  <c r="J101" i="19" s="1"/>
  <c r="N83" i="41"/>
  <c r="O84" i="41"/>
  <c r="M84" i="41" s="1"/>
  <c r="J88" i="3" s="1"/>
  <c r="L88" i="3" s="1"/>
  <c r="H341" i="3"/>
  <c r="L341" i="3" s="1"/>
  <c r="I340" i="3"/>
  <c r="F341" i="3"/>
  <c r="G341" i="3"/>
  <c r="D340" i="3"/>
  <c r="E341" i="3"/>
  <c r="W131" i="3" l="1" a="1"/>
  <c r="W131" i="3" s="1"/>
  <c r="X130" i="3"/>
  <c r="X146" i="19" a="1"/>
  <c r="X146" i="19" s="1"/>
  <c r="Y145" i="19"/>
  <c r="O95" i="43"/>
  <c r="P96" i="43"/>
  <c r="N96" i="43" s="1"/>
  <c r="J100" i="19" s="1"/>
  <c r="O83" i="41"/>
  <c r="M83" i="41" s="1"/>
  <c r="J87" i="3" s="1"/>
  <c r="N82" i="41"/>
  <c r="H342" i="3"/>
  <c r="L342" i="3" s="1"/>
  <c r="I341" i="3"/>
  <c r="F342" i="3"/>
  <c r="G342" i="3"/>
  <c r="D341" i="3"/>
  <c r="E342" i="3"/>
  <c r="W132" i="3" l="1" a="1"/>
  <c r="W132" i="3" s="1"/>
  <c r="X131" i="3"/>
  <c r="L87" i="3"/>
  <c r="X147" i="19" a="1"/>
  <c r="X147" i="19" s="1"/>
  <c r="Y146" i="19"/>
  <c r="P95" i="43"/>
  <c r="N95" i="43" s="1"/>
  <c r="J99" i="19" s="1"/>
  <c r="O94" i="43"/>
  <c r="O82" i="41"/>
  <c r="M82" i="41" s="1"/>
  <c r="J86" i="3" s="1"/>
  <c r="L86" i="3" s="1"/>
  <c r="N81" i="41"/>
  <c r="H343" i="3"/>
  <c r="L343" i="3" s="1"/>
  <c r="I342" i="3"/>
  <c r="F343" i="3"/>
  <c r="G343" i="3"/>
  <c r="D342" i="3"/>
  <c r="E343" i="3"/>
  <c r="W133" i="3" l="1" a="1"/>
  <c r="W133" i="3" s="1"/>
  <c r="X132" i="3"/>
  <c r="X148" i="19" a="1"/>
  <c r="X148" i="19" s="1"/>
  <c r="Y147" i="19"/>
  <c r="O93" i="43"/>
  <c r="P94" i="43"/>
  <c r="N94" i="43" s="1"/>
  <c r="J98" i="19" s="1"/>
  <c r="O81" i="41"/>
  <c r="M81" i="41" s="1"/>
  <c r="J85" i="3" s="1"/>
  <c r="L85" i="3" s="1"/>
  <c r="N80" i="41"/>
  <c r="H344" i="3"/>
  <c r="L344" i="3" s="1"/>
  <c r="I343" i="3"/>
  <c r="F344" i="3"/>
  <c r="G344" i="3"/>
  <c r="D343" i="3"/>
  <c r="E344" i="3"/>
  <c r="W134" i="3" l="1" a="1"/>
  <c r="W134" i="3" s="1"/>
  <c r="X133" i="3"/>
  <c r="X149" i="19" a="1"/>
  <c r="X149" i="19" s="1"/>
  <c r="Y148" i="19"/>
  <c r="P93" i="43"/>
  <c r="N93" i="43" s="1"/>
  <c r="J97" i="19" s="1"/>
  <c r="O92" i="43"/>
  <c r="O80" i="41"/>
  <c r="M80" i="41" s="1"/>
  <c r="J84" i="3" s="1"/>
  <c r="L84" i="3" s="1"/>
  <c r="N79" i="41"/>
  <c r="H345" i="3"/>
  <c r="L345" i="3" s="1"/>
  <c r="I344" i="3"/>
  <c r="F345" i="3"/>
  <c r="G345" i="3"/>
  <c r="D344" i="3"/>
  <c r="E345" i="3"/>
  <c r="W135" i="3" l="1" a="1"/>
  <c r="W135" i="3" s="1"/>
  <c r="X134" i="3"/>
  <c r="X150" i="19" a="1"/>
  <c r="X150" i="19" s="1"/>
  <c r="Y149" i="19"/>
  <c r="O91" i="43"/>
  <c r="P92" i="43"/>
  <c r="N92" i="43" s="1"/>
  <c r="J96" i="19" s="1"/>
  <c r="O79" i="41"/>
  <c r="M79" i="41" s="1"/>
  <c r="J83" i="3" s="1"/>
  <c r="L83" i="3" s="1"/>
  <c r="N78" i="41"/>
  <c r="H346" i="3"/>
  <c r="L346" i="3" s="1"/>
  <c r="I345" i="3"/>
  <c r="F346" i="3"/>
  <c r="G346" i="3"/>
  <c r="D345" i="3"/>
  <c r="E346" i="3"/>
  <c r="W136" i="3" l="1" a="1"/>
  <c r="W136" i="3" s="1"/>
  <c r="X135" i="3"/>
  <c r="X151" i="19" a="1"/>
  <c r="X151" i="19" s="1"/>
  <c r="Y150" i="19"/>
  <c r="O90" i="43"/>
  <c r="P91" i="43"/>
  <c r="N91" i="43" s="1"/>
  <c r="J95" i="19" s="1"/>
  <c r="O78" i="41"/>
  <c r="M78" i="41" s="1"/>
  <c r="J82" i="3" s="1"/>
  <c r="L82" i="3" s="1"/>
  <c r="N77" i="41"/>
  <c r="H347" i="3"/>
  <c r="L347" i="3" s="1"/>
  <c r="I346" i="3"/>
  <c r="F347" i="3"/>
  <c r="G347" i="3"/>
  <c r="D346" i="3"/>
  <c r="E347" i="3"/>
  <c r="W137" i="3" l="1" a="1"/>
  <c r="W137" i="3" s="1"/>
  <c r="X136" i="3"/>
  <c r="X152" i="19" a="1"/>
  <c r="X152" i="19" s="1"/>
  <c r="Y151" i="19"/>
  <c r="P90" i="43"/>
  <c r="N90" i="43" s="1"/>
  <c r="J94" i="19" s="1"/>
  <c r="O89" i="43"/>
  <c r="O77" i="41"/>
  <c r="M77" i="41" s="1"/>
  <c r="J81" i="3" s="1"/>
  <c r="L81" i="3" s="1"/>
  <c r="N76" i="41"/>
  <c r="H348" i="3"/>
  <c r="L348" i="3" s="1"/>
  <c r="I347" i="3"/>
  <c r="F348" i="3"/>
  <c r="G348" i="3"/>
  <c r="D347" i="3"/>
  <c r="E348" i="3"/>
  <c r="W138" i="3" l="1" a="1"/>
  <c r="W138" i="3" s="1"/>
  <c r="X137" i="3"/>
  <c r="X153" i="19" a="1"/>
  <c r="X153" i="19" s="1"/>
  <c r="Y152" i="19"/>
  <c r="P89" i="43"/>
  <c r="N89" i="43" s="1"/>
  <c r="J93" i="19" s="1"/>
  <c r="O88" i="43"/>
  <c r="N75" i="41"/>
  <c r="O76" i="41"/>
  <c r="M76" i="41" s="1"/>
  <c r="J80" i="3" s="1"/>
  <c r="L80" i="3" s="1"/>
  <c r="H349" i="3"/>
  <c r="L349" i="3" s="1"/>
  <c r="I348" i="3"/>
  <c r="F349" i="3"/>
  <c r="G349" i="3"/>
  <c r="D348" i="3"/>
  <c r="E349" i="3"/>
  <c r="W139" i="3" l="1" a="1"/>
  <c r="W139" i="3" s="1"/>
  <c r="X138" i="3"/>
  <c r="X154" i="19" a="1"/>
  <c r="X154" i="19" s="1"/>
  <c r="Y153" i="19"/>
  <c r="P88" i="43"/>
  <c r="N88" i="43" s="1"/>
  <c r="J92" i="19" s="1"/>
  <c r="O87" i="43"/>
  <c r="N74" i="41"/>
  <c r="O75" i="41"/>
  <c r="M75" i="41" s="1"/>
  <c r="J79" i="3" s="1"/>
  <c r="L79" i="3" s="1"/>
  <c r="H350" i="3"/>
  <c r="L350" i="3" s="1"/>
  <c r="I349" i="3"/>
  <c r="F350" i="3"/>
  <c r="G350" i="3"/>
  <c r="D349" i="3"/>
  <c r="E350" i="3"/>
  <c r="W140" i="3" l="1" a="1"/>
  <c r="W140" i="3" s="1"/>
  <c r="X139" i="3"/>
  <c r="X155" i="19" a="1"/>
  <c r="X155" i="19" s="1"/>
  <c r="Y154" i="19"/>
  <c r="O86" i="43"/>
  <c r="P87" i="43"/>
  <c r="N87" i="43" s="1"/>
  <c r="J91" i="19" s="1"/>
  <c r="O74" i="41"/>
  <c r="M74" i="41" s="1"/>
  <c r="J78" i="3" s="1"/>
  <c r="L78" i="3" s="1"/>
  <c r="N73" i="41"/>
  <c r="H351" i="3"/>
  <c r="L351" i="3" s="1"/>
  <c r="I350" i="3"/>
  <c r="F351" i="3"/>
  <c r="G351" i="3"/>
  <c r="D350" i="3"/>
  <c r="E351" i="3"/>
  <c r="W141" i="3" l="1" a="1"/>
  <c r="W141" i="3" s="1"/>
  <c r="X140" i="3"/>
  <c r="X156" i="19" a="1"/>
  <c r="X156" i="19" s="1"/>
  <c r="Y155" i="19"/>
  <c r="P86" i="43"/>
  <c r="N86" i="43" s="1"/>
  <c r="J90" i="19" s="1"/>
  <c r="O85" i="43"/>
  <c r="N72" i="41"/>
  <c r="O73" i="41"/>
  <c r="M73" i="41" s="1"/>
  <c r="J77" i="3" s="1"/>
  <c r="L77" i="3" s="1"/>
  <c r="H352" i="3"/>
  <c r="L352" i="3" s="1"/>
  <c r="I351" i="3"/>
  <c r="F352" i="3"/>
  <c r="G352" i="3"/>
  <c r="D351" i="3"/>
  <c r="E352" i="3"/>
  <c r="W142" i="3" l="1" a="1"/>
  <c r="W142" i="3" s="1"/>
  <c r="X141" i="3"/>
  <c r="X157" i="19" a="1"/>
  <c r="X157" i="19" s="1"/>
  <c r="Y156" i="19"/>
  <c r="O84" i="43"/>
  <c r="P85" i="43"/>
  <c r="N85" i="43" s="1"/>
  <c r="J89" i="19" s="1"/>
  <c r="N71" i="41"/>
  <c r="O72" i="41"/>
  <c r="M72" i="41" s="1"/>
  <c r="J76" i="3" s="1"/>
  <c r="L76" i="3" s="1"/>
  <c r="H353" i="3"/>
  <c r="L353" i="3" s="1"/>
  <c r="I352" i="3"/>
  <c r="F353" i="3"/>
  <c r="G353" i="3"/>
  <c r="D352" i="3"/>
  <c r="E353" i="3"/>
  <c r="W143" i="3" l="1" a="1"/>
  <c r="W143" i="3" s="1"/>
  <c r="X142" i="3"/>
  <c r="X158" i="19" a="1"/>
  <c r="X158" i="19" s="1"/>
  <c r="Y157" i="19"/>
  <c r="O83" i="43"/>
  <c r="P84" i="43"/>
  <c r="N84" i="43" s="1"/>
  <c r="J88" i="19" s="1"/>
  <c r="N70" i="41"/>
  <c r="O71" i="41"/>
  <c r="M71" i="41" s="1"/>
  <c r="J75" i="3" s="1"/>
  <c r="L75" i="3" s="1"/>
  <c r="H354" i="3"/>
  <c r="L354" i="3" s="1"/>
  <c r="I353" i="3"/>
  <c r="F354" i="3"/>
  <c r="G354" i="3"/>
  <c r="D353" i="3"/>
  <c r="E354" i="3"/>
  <c r="W144" i="3" l="1" a="1"/>
  <c r="W144" i="3" s="1"/>
  <c r="X143" i="3"/>
  <c r="X159" i="19" a="1"/>
  <c r="X159" i="19" s="1"/>
  <c r="Y158" i="19"/>
  <c r="O82" i="43"/>
  <c r="P83" i="43"/>
  <c r="N83" i="43" s="1"/>
  <c r="J87" i="19" s="1"/>
  <c r="O70" i="41"/>
  <c r="M70" i="41" s="1"/>
  <c r="J74" i="3" s="1"/>
  <c r="L74" i="3" s="1"/>
  <c r="N69" i="41"/>
  <c r="H355" i="3"/>
  <c r="L355" i="3" s="1"/>
  <c r="I354" i="3"/>
  <c r="F355" i="3"/>
  <c r="G355" i="3"/>
  <c r="D354" i="3"/>
  <c r="E355" i="3"/>
  <c r="W145" i="3" l="1" a="1"/>
  <c r="W145" i="3" s="1"/>
  <c r="X144" i="3"/>
  <c r="X160" i="19" a="1"/>
  <c r="X160" i="19" s="1"/>
  <c r="Y159" i="19"/>
  <c r="O81" i="43"/>
  <c r="P82" i="43"/>
  <c r="N82" i="43" s="1"/>
  <c r="J86" i="19" s="1"/>
  <c r="O69" i="41"/>
  <c r="M69" i="41" s="1"/>
  <c r="J73" i="3" s="1"/>
  <c r="L73" i="3" s="1"/>
  <c r="N68" i="41"/>
  <c r="W146" i="3" l="1" a="1"/>
  <c r="W146" i="3" s="1"/>
  <c r="X145" i="3"/>
  <c r="X161" i="19" a="1"/>
  <c r="X161" i="19" s="1"/>
  <c r="Y160" i="19"/>
  <c r="P81" i="43"/>
  <c r="N81" i="43" s="1"/>
  <c r="J85" i="19" s="1"/>
  <c r="O80" i="43"/>
  <c r="O68" i="41"/>
  <c r="M68" i="41" s="1"/>
  <c r="J72" i="3" s="1"/>
  <c r="N67" i="41"/>
  <c r="L72" i="3" l="1"/>
  <c r="W147" i="3" a="1"/>
  <c r="W147" i="3" s="1"/>
  <c r="X146" i="3"/>
  <c r="X162" i="19" a="1"/>
  <c r="X162" i="19" s="1"/>
  <c r="Y161" i="19"/>
  <c r="P80" i="43"/>
  <c r="N80" i="43" s="1"/>
  <c r="J84" i="19" s="1"/>
  <c r="O79" i="43"/>
  <c r="N66" i="41"/>
  <c r="O67" i="41"/>
  <c r="M67" i="41" s="1"/>
  <c r="J71" i="3" s="1"/>
  <c r="L71" i="3" l="1"/>
  <c r="W148" i="3" a="1"/>
  <c r="W148" i="3" s="1"/>
  <c r="X147" i="3"/>
  <c r="X163" i="19" a="1"/>
  <c r="X163" i="19" s="1"/>
  <c r="Y162" i="19"/>
  <c r="P79" i="43"/>
  <c r="N79" i="43" s="1"/>
  <c r="J83" i="19" s="1"/>
  <c r="O78" i="43"/>
  <c r="O66" i="41"/>
  <c r="M66" i="41" s="1"/>
  <c r="J70" i="3" s="1"/>
  <c r="L70" i="3" s="1"/>
  <c r="N65" i="41"/>
  <c r="W149" i="3" l="1" a="1"/>
  <c r="W149" i="3" s="1"/>
  <c r="X148" i="3"/>
  <c r="X164" i="19" a="1"/>
  <c r="X164" i="19" s="1"/>
  <c r="Y163" i="19"/>
  <c r="O77" i="43"/>
  <c r="P78" i="43"/>
  <c r="N78" i="43" s="1"/>
  <c r="J82" i="19" s="1"/>
  <c r="O65" i="41"/>
  <c r="M65" i="41" s="1"/>
  <c r="J69" i="3" s="1"/>
  <c r="N64" i="41"/>
  <c r="L69" i="3" l="1"/>
  <c r="AL38" i="3" a="1"/>
  <c r="AL38" i="3" s="1"/>
  <c r="AL29" i="3" a="1"/>
  <c r="AL29" i="3" s="1"/>
  <c r="AL20" i="3" a="1"/>
  <c r="AL20" i="3" s="1"/>
  <c r="W150" i="3" a="1"/>
  <c r="W150" i="3" s="1"/>
  <c r="X149" i="3"/>
  <c r="X165" i="19" a="1"/>
  <c r="X165" i="19" s="1"/>
  <c r="Y164" i="19"/>
  <c r="O76" i="43"/>
  <c r="P77" i="43"/>
  <c r="N77" i="43" s="1"/>
  <c r="J81" i="19" s="1"/>
  <c r="O64" i="41"/>
  <c r="M64" i="41" s="1"/>
  <c r="J68" i="3" s="1"/>
  <c r="N63" i="41"/>
  <c r="AL37" i="3" l="1"/>
  <c r="AL28" i="3"/>
  <c r="AL19" i="3"/>
  <c r="L68" i="3"/>
  <c r="W151" i="3" a="1"/>
  <c r="W151" i="3" s="1"/>
  <c r="X150" i="3"/>
  <c r="X166" i="19" a="1"/>
  <c r="X166" i="19" s="1"/>
  <c r="Y165" i="19"/>
  <c r="P76" i="43"/>
  <c r="N76" i="43" s="1"/>
  <c r="J80" i="19" s="1"/>
  <c r="AL38" i="19" s="1" a="1"/>
  <c r="AL38" i="19" s="1"/>
  <c r="O75" i="43"/>
  <c r="N62" i="41"/>
  <c r="O63" i="41"/>
  <c r="M63" i="41" s="1"/>
  <c r="J67" i="3" s="1"/>
  <c r="L67" i="3" s="1"/>
  <c r="W152" i="3" l="1" a="1"/>
  <c r="W152" i="3" s="1"/>
  <c r="X151" i="3"/>
  <c r="X167" i="19" a="1"/>
  <c r="X167" i="19" s="1"/>
  <c r="Y166" i="19"/>
  <c r="P75" i="43"/>
  <c r="N75" i="43" s="1"/>
  <c r="J79" i="19" s="1"/>
  <c r="AL37" i="19" s="1"/>
  <c r="O74" i="43"/>
  <c r="N61" i="41"/>
  <c r="O62" i="41"/>
  <c r="M62" i="41" s="1"/>
  <c r="J66" i="3" s="1"/>
  <c r="L66" i="3" s="1"/>
  <c r="W153" i="3" l="1" a="1"/>
  <c r="W153" i="3" s="1"/>
  <c r="X152" i="3"/>
  <c r="X168" i="19" a="1"/>
  <c r="X168" i="19" s="1"/>
  <c r="Y167" i="19"/>
  <c r="P74" i="43"/>
  <c r="N74" i="43" s="1"/>
  <c r="J78" i="19" s="1"/>
  <c r="O73" i="43"/>
  <c r="O61" i="41"/>
  <c r="M61" i="41" s="1"/>
  <c r="J65" i="3" s="1"/>
  <c r="L65" i="3" s="1"/>
  <c r="N60" i="41"/>
  <c r="W154" i="3" l="1" a="1"/>
  <c r="W154" i="3" s="1"/>
  <c r="X153" i="3"/>
  <c r="X169" i="19" a="1"/>
  <c r="X169" i="19" s="1"/>
  <c r="Y168" i="19"/>
  <c r="P73" i="43"/>
  <c r="N73" i="43" s="1"/>
  <c r="J77" i="19" s="1"/>
  <c r="O72" i="43"/>
  <c r="O60" i="41"/>
  <c r="M60" i="41" s="1"/>
  <c r="J64" i="3" s="1"/>
  <c r="L64" i="3" s="1"/>
  <c r="N59" i="41"/>
  <c r="W155" i="3" l="1" a="1"/>
  <c r="W155" i="3" s="1"/>
  <c r="X154" i="3"/>
  <c r="X170" i="19" a="1"/>
  <c r="X170" i="19" s="1"/>
  <c r="Y169" i="19"/>
  <c r="P72" i="43"/>
  <c r="N72" i="43" s="1"/>
  <c r="J76" i="19" s="1"/>
  <c r="O71" i="43"/>
  <c r="O59" i="41"/>
  <c r="M59" i="41" s="1"/>
  <c r="J63" i="3" s="1"/>
  <c r="L63" i="3" s="1"/>
  <c r="N58" i="41"/>
  <c r="W156" i="3" l="1" a="1"/>
  <c r="W156" i="3" s="1"/>
  <c r="X155" i="3"/>
  <c r="X171" i="19" a="1"/>
  <c r="X171" i="19" s="1"/>
  <c r="Y170" i="19"/>
  <c r="P71" i="43"/>
  <c r="N71" i="43" s="1"/>
  <c r="J75" i="19" s="1"/>
  <c r="O70" i="43"/>
  <c r="N57" i="41"/>
  <c r="O58" i="41"/>
  <c r="M58" i="41" s="1"/>
  <c r="J62" i="3" s="1"/>
  <c r="L62" i="3" s="1"/>
  <c r="W157" i="3" l="1" a="1"/>
  <c r="W157" i="3" s="1"/>
  <c r="X156" i="3"/>
  <c r="X172" i="19" a="1"/>
  <c r="X172" i="19" s="1"/>
  <c r="Y171" i="19"/>
  <c r="P70" i="43"/>
  <c r="N70" i="43" s="1"/>
  <c r="J74" i="19" s="1"/>
  <c r="O69" i="43"/>
  <c r="N56" i="41"/>
  <c r="O57" i="41"/>
  <c r="M57" i="41" s="1"/>
  <c r="J61" i="3" s="1"/>
  <c r="L61" i="3" s="1"/>
  <c r="W158" i="3" l="1" a="1"/>
  <c r="W158" i="3" s="1"/>
  <c r="X157" i="3"/>
  <c r="X173" i="19" a="1"/>
  <c r="X173" i="19" s="1"/>
  <c r="Y172" i="19"/>
  <c r="P69" i="43"/>
  <c r="N69" i="43" s="1"/>
  <c r="J73" i="19" s="1"/>
  <c r="O68" i="43"/>
  <c r="O56" i="41"/>
  <c r="M56" i="41" s="1"/>
  <c r="J60" i="3" s="1"/>
  <c r="L60" i="3" s="1"/>
  <c r="N55" i="41"/>
  <c r="W159" i="3" l="1" a="1"/>
  <c r="W159" i="3" s="1"/>
  <c r="X158" i="3"/>
  <c r="X174" i="19" a="1"/>
  <c r="X174" i="19" s="1"/>
  <c r="Y173" i="19"/>
  <c r="O67" i="43"/>
  <c r="P68" i="43"/>
  <c r="N68" i="43" s="1"/>
  <c r="J72" i="19" s="1"/>
  <c r="O55" i="41"/>
  <c r="M55" i="41" s="1"/>
  <c r="J59" i="3" s="1"/>
  <c r="L59" i="3" s="1"/>
  <c r="N54" i="41"/>
  <c r="W160" i="3" l="1" a="1"/>
  <c r="W160" i="3" s="1"/>
  <c r="X159" i="3"/>
  <c r="X175" i="19" a="1"/>
  <c r="X175" i="19" s="1"/>
  <c r="Y174" i="19"/>
  <c r="O66" i="43"/>
  <c r="P67" i="43"/>
  <c r="N67" i="43" s="1"/>
  <c r="J71" i="19" s="1"/>
  <c r="N53" i="41"/>
  <c r="O54" i="41"/>
  <c r="M54" i="41" s="1"/>
  <c r="J58" i="3" s="1"/>
  <c r="L58" i="3" s="1"/>
  <c r="W161" i="3" l="1" a="1"/>
  <c r="W161" i="3" s="1"/>
  <c r="X160" i="3"/>
  <c r="X176" i="19" a="1"/>
  <c r="X176" i="19" s="1"/>
  <c r="Y175" i="19"/>
  <c r="O65" i="43"/>
  <c r="P66" i="43"/>
  <c r="N66" i="43" s="1"/>
  <c r="J70" i="19" s="1"/>
  <c r="N52" i="41"/>
  <c r="O53" i="41"/>
  <c r="M53" i="41" s="1"/>
  <c r="J57" i="3" s="1"/>
  <c r="L57" i="3" s="1"/>
  <c r="W162" i="3" l="1" a="1"/>
  <c r="W162" i="3" s="1"/>
  <c r="X161" i="3"/>
  <c r="X177" i="19" a="1"/>
  <c r="X177" i="19" s="1"/>
  <c r="Y176" i="19"/>
  <c r="O64" i="43"/>
  <c r="P65" i="43"/>
  <c r="N65" i="43" s="1"/>
  <c r="J69" i="19" s="1"/>
  <c r="N51" i="41"/>
  <c r="O52" i="41"/>
  <c r="M52" i="41" s="1"/>
  <c r="J56" i="3" s="1"/>
  <c r="L56" i="3" s="1"/>
  <c r="W163" i="3" l="1" a="1"/>
  <c r="W163" i="3" s="1"/>
  <c r="X162" i="3"/>
  <c r="X178" i="19" a="1"/>
  <c r="X178" i="19" s="1"/>
  <c r="Y177" i="19"/>
  <c r="P64" i="43"/>
  <c r="N64" i="43" s="1"/>
  <c r="J68" i="19" s="1"/>
  <c r="O63" i="43"/>
  <c r="O51" i="41"/>
  <c r="M51" i="41" s="1"/>
  <c r="J55" i="3" s="1"/>
  <c r="L55" i="3" s="1"/>
  <c r="N50" i="41"/>
  <c r="W164" i="3" l="1" a="1"/>
  <c r="W164" i="3" s="1"/>
  <c r="X163" i="3"/>
  <c r="X179" i="19" a="1"/>
  <c r="X179" i="19" s="1"/>
  <c r="Y178" i="19"/>
  <c r="P63" i="43"/>
  <c r="N63" i="43" s="1"/>
  <c r="J67" i="19" s="1"/>
  <c r="O62" i="43"/>
  <c r="O50" i="41"/>
  <c r="M50" i="41" s="1"/>
  <c r="N49" i="41"/>
  <c r="W165" i="3" l="1" a="1"/>
  <c r="W165" i="3" s="1"/>
  <c r="X164" i="3"/>
  <c r="X180" i="19" a="1"/>
  <c r="X180" i="19" s="1"/>
  <c r="Y179" i="19"/>
  <c r="J54" i="3"/>
  <c r="H54" i="3"/>
  <c r="P62" i="43"/>
  <c r="N62" i="43" s="1"/>
  <c r="J66" i="19" s="1"/>
  <c r="O61" i="43"/>
  <c r="N48" i="41"/>
  <c r="O49" i="41"/>
  <c r="M49" i="41" s="1"/>
  <c r="W166" i="3" l="1" a="1"/>
  <c r="W166" i="3" s="1"/>
  <c r="X165" i="3"/>
  <c r="X181" i="19" a="1"/>
  <c r="X181" i="19" s="1"/>
  <c r="Y180" i="19"/>
  <c r="J53" i="3"/>
  <c r="H53" i="3"/>
  <c r="L54" i="3"/>
  <c r="O60" i="43"/>
  <c r="P61" i="43"/>
  <c r="N61" i="43" s="1"/>
  <c r="J65" i="19" s="1"/>
  <c r="O48" i="41"/>
  <c r="M48" i="41" s="1"/>
  <c r="N47" i="41"/>
  <c r="W167" i="3" l="1" a="1"/>
  <c r="W167" i="3" s="1"/>
  <c r="X166" i="3"/>
  <c r="X182" i="19" a="1"/>
  <c r="X182" i="19" s="1"/>
  <c r="Y181" i="19"/>
  <c r="J52" i="3"/>
  <c r="H52" i="3"/>
  <c r="L53" i="3"/>
  <c r="P60" i="43"/>
  <c r="N60" i="43" s="1"/>
  <c r="J64" i="19" s="1"/>
  <c r="O59" i="43"/>
  <c r="N46" i="41"/>
  <c r="O47" i="41"/>
  <c r="M47" i="41" s="1"/>
  <c r="W168" i="3" l="1" a="1"/>
  <c r="W168" i="3" s="1"/>
  <c r="X167" i="3"/>
  <c r="X183" i="19" a="1"/>
  <c r="X183" i="19" s="1"/>
  <c r="Y182" i="19"/>
  <c r="J51" i="3"/>
  <c r="H51" i="3"/>
  <c r="L52" i="3"/>
  <c r="O58" i="43"/>
  <c r="P59" i="43"/>
  <c r="N59" i="43" s="1"/>
  <c r="J63" i="19" s="1"/>
  <c r="O46" i="41"/>
  <c r="M46" i="41" s="1"/>
  <c r="N45" i="41"/>
  <c r="AK38" i="3" l="1" a="1"/>
  <c r="AK38" i="3" s="1"/>
  <c r="AK29" i="3" a="1"/>
  <c r="AK29" i="3" s="1"/>
  <c r="AK20" i="3" a="1"/>
  <c r="AK20" i="3" s="1"/>
  <c r="W169" i="3" a="1"/>
  <c r="W169" i="3" s="1"/>
  <c r="X168" i="3"/>
  <c r="X184" i="19" a="1"/>
  <c r="X184" i="19" s="1"/>
  <c r="Y183" i="19"/>
  <c r="J50" i="3"/>
  <c r="H50" i="3"/>
  <c r="L51" i="3"/>
  <c r="P58" i="43"/>
  <c r="N58" i="43" s="1"/>
  <c r="J62" i="19" s="1"/>
  <c r="O57" i="43"/>
  <c r="N44" i="41"/>
  <c r="O45" i="41"/>
  <c r="M45" i="41" s="1"/>
  <c r="AK28" i="3" l="1"/>
  <c r="AK19" i="3"/>
  <c r="AK37" i="3"/>
  <c r="W170" i="3" a="1"/>
  <c r="W170" i="3" s="1"/>
  <c r="X169" i="3"/>
  <c r="X185" i="19" a="1"/>
  <c r="X185" i="19" s="1"/>
  <c r="Y184" i="19"/>
  <c r="J49" i="3"/>
  <c r="H49" i="3"/>
  <c r="L50" i="3"/>
  <c r="P57" i="43"/>
  <c r="N57" i="43" s="1"/>
  <c r="J61" i="19" s="1"/>
  <c r="O56" i="43"/>
  <c r="O44" i="41"/>
  <c r="M44" i="41" s="1"/>
  <c r="N43" i="41"/>
  <c r="W171" i="3" l="1" a="1"/>
  <c r="W171" i="3" s="1"/>
  <c r="X170" i="3"/>
  <c r="X186" i="19" a="1"/>
  <c r="X186" i="19" s="1"/>
  <c r="Y185" i="19"/>
  <c r="J48" i="3"/>
  <c r="H48" i="3"/>
  <c r="L49" i="3"/>
  <c r="O55" i="43"/>
  <c r="P56" i="43"/>
  <c r="N56" i="43" s="1"/>
  <c r="J60" i="19" s="1"/>
  <c r="O43" i="41"/>
  <c r="M43" i="41" s="1"/>
  <c r="N42" i="41"/>
  <c r="W172" i="3" l="1" a="1"/>
  <c r="W172" i="3" s="1"/>
  <c r="X171" i="3"/>
  <c r="X187" i="19" a="1"/>
  <c r="X187" i="19" s="1"/>
  <c r="Y186" i="19"/>
  <c r="J47" i="3"/>
  <c r="H47" i="3"/>
  <c r="L48" i="3"/>
  <c r="O54" i="43"/>
  <c r="P55" i="43"/>
  <c r="N55" i="43" s="1"/>
  <c r="J59" i="19" s="1"/>
  <c r="N41" i="41"/>
  <c r="O42" i="41"/>
  <c r="M42" i="41" s="1"/>
  <c r="W173" i="3" l="1" a="1"/>
  <c r="W173" i="3" s="1"/>
  <c r="X172" i="3"/>
  <c r="X188" i="19" a="1"/>
  <c r="X188" i="19" s="1"/>
  <c r="Y187" i="19"/>
  <c r="J46" i="3"/>
  <c r="H46" i="3"/>
  <c r="L47" i="3"/>
  <c r="P54" i="43"/>
  <c r="N54" i="43" s="1"/>
  <c r="J58" i="19" s="1"/>
  <c r="O53" i="43"/>
  <c r="N40" i="41"/>
  <c r="O41" i="41"/>
  <c r="M41" i="41" s="1"/>
  <c r="W174" i="3" l="1" a="1"/>
  <c r="W174" i="3" s="1"/>
  <c r="X173" i="3"/>
  <c r="X189" i="19" a="1"/>
  <c r="X189" i="19" s="1"/>
  <c r="Y188" i="19"/>
  <c r="J45" i="3"/>
  <c r="H45" i="3"/>
  <c r="L46" i="3"/>
  <c r="P53" i="43"/>
  <c r="N53" i="43" s="1"/>
  <c r="J57" i="19" s="1"/>
  <c r="O52" i="43"/>
  <c r="O40" i="41"/>
  <c r="M40" i="41" s="1"/>
  <c r="N39" i="41"/>
  <c r="W175" i="3" l="1" a="1"/>
  <c r="W175" i="3" s="1"/>
  <c r="X174" i="3"/>
  <c r="X190" i="19" a="1"/>
  <c r="X190" i="19" s="1"/>
  <c r="Y189" i="19"/>
  <c r="J44" i="3"/>
  <c r="H44" i="3"/>
  <c r="L45" i="3"/>
  <c r="O51" i="43"/>
  <c r="P52" i="43"/>
  <c r="N52" i="43" s="1"/>
  <c r="J56" i="19" s="1"/>
  <c r="N38" i="41"/>
  <c r="O39" i="41"/>
  <c r="M39" i="41" s="1"/>
  <c r="W176" i="3" l="1" a="1"/>
  <c r="W176" i="3" s="1"/>
  <c r="X175" i="3"/>
  <c r="X191" i="19" a="1"/>
  <c r="X191" i="19" s="1"/>
  <c r="Y190" i="19"/>
  <c r="J43" i="3"/>
  <c r="H43" i="3"/>
  <c r="L44" i="3"/>
  <c r="P51" i="43"/>
  <c r="N51" i="43" s="1"/>
  <c r="J55" i="19" s="1"/>
  <c r="O50" i="43"/>
  <c r="O38" i="41"/>
  <c r="M38" i="41" s="1"/>
  <c r="N37" i="41"/>
  <c r="W177" i="3" l="1" a="1"/>
  <c r="W177" i="3" s="1"/>
  <c r="X176" i="3"/>
  <c r="X192" i="19" a="1"/>
  <c r="X192" i="19" s="1"/>
  <c r="Y191" i="19"/>
  <c r="J42" i="3"/>
  <c r="H42" i="3"/>
  <c r="L43" i="3"/>
  <c r="O49" i="43"/>
  <c r="P50" i="43"/>
  <c r="N50" i="43" s="1"/>
  <c r="J54" i="19" s="1"/>
  <c r="O37" i="41"/>
  <c r="M37" i="41" s="1"/>
  <c r="N36" i="41"/>
  <c r="S53" i="3"/>
  <c r="S54" i="3" s="1"/>
  <c r="S55" i="3" s="1"/>
  <c r="S56" i="3" s="1"/>
  <c r="S57" i="3" s="1"/>
  <c r="S58" i="3" s="1"/>
  <c r="S59" i="3" s="1"/>
  <c r="S60" i="3" s="1"/>
  <c r="S61" i="3" s="1"/>
  <c r="S62" i="3" s="1"/>
  <c r="S63" i="3" s="1"/>
  <c r="S64" i="3" s="1"/>
  <c r="S65" i="3" s="1"/>
  <c r="S66" i="3" s="1"/>
  <c r="S67" i="3" s="1"/>
  <c r="S68" i="3" s="1"/>
  <c r="S69" i="3" s="1"/>
  <c r="S70" i="3" s="1"/>
  <c r="S157" i="3"/>
  <c r="S71" i="3" l="1"/>
  <c r="S72" i="3" s="1"/>
  <c r="S73" i="3" s="1"/>
  <c r="S74" i="3" s="1"/>
  <c r="S75" i="3" s="1"/>
  <c r="S76" i="3" s="1"/>
  <c r="S77" i="3" s="1"/>
  <c r="S78" i="3" s="1"/>
  <c r="S79" i="3" s="1"/>
  <c r="S80" i="3" s="1"/>
  <c r="S81" i="3" s="1"/>
  <c r="S82" i="3" s="1"/>
  <c r="S83" i="3" s="1"/>
  <c r="S84" i="3" s="1"/>
  <c r="S85" i="3" s="1"/>
  <c r="S86" i="3" s="1"/>
  <c r="S87" i="3" s="1"/>
  <c r="S88" i="3" s="1"/>
  <c r="S89" i="3" s="1"/>
  <c r="S90" i="3" s="1"/>
  <c r="S91" i="3" s="1"/>
  <c r="S92" i="3" s="1"/>
  <c r="S93" i="3" s="1"/>
  <c r="S94" i="3" s="1"/>
  <c r="S95" i="3" s="1"/>
  <c r="S96" i="3" s="1"/>
  <c r="S97" i="3" s="1"/>
  <c r="S98" i="3" s="1"/>
  <c r="S99" i="3" s="1"/>
  <c r="S100" i="3" s="1"/>
  <c r="W178" i="3" a="1"/>
  <c r="W178" i="3" s="1"/>
  <c r="X177" i="3"/>
  <c r="X193" i="19" a="1"/>
  <c r="X193" i="19" s="1"/>
  <c r="Y192" i="19"/>
  <c r="J41" i="3"/>
  <c r="H41" i="3"/>
  <c r="L42" i="3"/>
  <c r="O48" i="43"/>
  <c r="P49" i="43"/>
  <c r="N49" i="43" s="1"/>
  <c r="J53" i="19" s="1"/>
  <c r="N35" i="41"/>
  <c r="O36" i="41"/>
  <c r="M36" i="41" s="1"/>
  <c r="S101" i="3"/>
  <c r="S102" i="3" s="1"/>
  <c r="S103" i="3" s="1"/>
  <c r="S104" i="3" s="1"/>
  <c r="S105" i="3" s="1"/>
  <c r="S106" i="3" s="1"/>
  <c r="S107" i="3" s="1"/>
  <c r="S108" i="3" s="1"/>
  <c r="S109" i="3" s="1"/>
  <c r="S110" i="3" s="1"/>
  <c r="S111" i="3" s="1"/>
  <c r="S112" i="3" s="1"/>
  <c r="S113" i="3" s="1"/>
  <c r="S114" i="3" s="1"/>
  <c r="S115" i="3" s="1"/>
  <c r="S116" i="3" s="1"/>
  <c r="S117" i="3" s="1"/>
  <c r="S118" i="3" s="1"/>
  <c r="S119" i="3" s="1"/>
  <c r="S120" i="3" s="1"/>
  <c r="S121" i="3" s="1"/>
  <c r="S122" i="3" s="1"/>
  <c r="S123" i="3" s="1"/>
  <c r="S124" i="3" s="1"/>
  <c r="S125" i="3" s="1"/>
  <c r="S126" i="3" s="1"/>
  <c r="S127" i="3" s="1"/>
  <c r="S128" i="3" s="1"/>
  <c r="S129" i="3" s="1"/>
  <c r="S130" i="3" s="1"/>
  <c r="S131" i="3" s="1"/>
  <c r="S132" i="3" s="1"/>
  <c r="S133" i="3" s="1"/>
  <c r="S134" i="3" s="1"/>
  <c r="S135" i="3" s="1"/>
  <c r="S136" i="3" s="1"/>
  <c r="S137" i="3" s="1"/>
  <c r="S138" i="3" s="1"/>
  <c r="S139" i="3" s="1"/>
  <c r="S140" i="3" s="1"/>
  <c r="S141" i="3" s="1"/>
  <c r="S142" i="3" s="1"/>
  <c r="S143" i="3" s="1"/>
  <c r="S144" i="3" s="1"/>
  <c r="S145" i="3" s="1"/>
  <c r="S146" i="3" s="1"/>
  <c r="S147" i="3" s="1"/>
  <c r="S148" i="3" s="1"/>
  <c r="S149" i="3" s="1"/>
  <c r="S150" i="3" s="1"/>
  <c r="S151" i="3" s="1"/>
  <c r="S152" i="3" s="1"/>
  <c r="S153" i="3" s="1"/>
  <c r="S154" i="3" s="1"/>
  <c r="S155" i="3" s="1"/>
  <c r="S156" i="3" s="1"/>
  <c r="W179" i="3" l="1" a="1"/>
  <c r="W179" i="3" s="1"/>
  <c r="X178" i="3"/>
  <c r="X194" i="19" a="1"/>
  <c r="X194" i="19" s="1"/>
  <c r="Y193" i="19"/>
  <c r="J40" i="3"/>
  <c r="H40" i="3"/>
  <c r="L41" i="3"/>
  <c r="P48" i="43"/>
  <c r="N48" i="43" s="1"/>
  <c r="J52" i="19" s="1"/>
  <c r="AL29" i="19" s="1" a="1"/>
  <c r="AL29" i="19" s="1"/>
  <c r="O47" i="43"/>
  <c r="O35" i="41"/>
  <c r="M35" i="41" s="1"/>
  <c r="N34" i="41"/>
  <c r="W180" i="3" l="1" a="1"/>
  <c r="W180" i="3" s="1"/>
  <c r="X179" i="3"/>
  <c r="X195" i="19" a="1"/>
  <c r="X195" i="19" s="1"/>
  <c r="Y194" i="19"/>
  <c r="J39" i="3"/>
  <c r="H39" i="3"/>
  <c r="L40" i="3"/>
  <c r="P47" i="43"/>
  <c r="N47" i="43" s="1"/>
  <c r="J51" i="19" s="1"/>
  <c r="AL28" i="19" s="1"/>
  <c r="O46" i="43"/>
  <c r="O34" i="41"/>
  <c r="M34" i="41" s="1"/>
  <c r="N33" i="41"/>
  <c r="O18" i="19"/>
  <c r="W181" i="3" l="1" a="1"/>
  <c r="W181" i="3" s="1"/>
  <c r="X180" i="3"/>
  <c r="X196" i="19" a="1"/>
  <c r="X196" i="19" s="1"/>
  <c r="Y195" i="19"/>
  <c r="J38" i="3"/>
  <c r="H38" i="3"/>
  <c r="L39" i="3"/>
  <c r="O45" i="43"/>
  <c r="P46" i="43"/>
  <c r="N46" i="43" s="1"/>
  <c r="J50" i="19" s="1"/>
  <c r="O33" i="41"/>
  <c r="M33" i="41" s="1"/>
  <c r="N32" i="41"/>
  <c r="O19" i="19"/>
  <c r="O20" i="19"/>
  <c r="W182" i="3" l="1" a="1"/>
  <c r="W182" i="3" s="1"/>
  <c r="X181" i="3"/>
  <c r="X197" i="19" a="1"/>
  <c r="X197" i="19" s="1"/>
  <c r="Y196" i="19"/>
  <c r="J37" i="3"/>
  <c r="H37" i="3"/>
  <c r="L38" i="3"/>
  <c r="O44" i="43"/>
  <c r="P45" i="43"/>
  <c r="N45" i="43" s="1"/>
  <c r="J49" i="19" s="1"/>
  <c r="O32" i="41"/>
  <c r="M32" i="41" s="1"/>
  <c r="N31" i="41"/>
  <c r="O22" i="19"/>
  <c r="O21" i="19"/>
  <c r="W183" i="3" l="1" a="1"/>
  <c r="W183" i="3" s="1"/>
  <c r="X182" i="3"/>
  <c r="X198" i="19" a="1"/>
  <c r="X198" i="19" s="1"/>
  <c r="Y197" i="19"/>
  <c r="L37" i="3"/>
  <c r="J36" i="3"/>
  <c r="H36" i="3"/>
  <c r="P44" i="43"/>
  <c r="N44" i="43" s="1"/>
  <c r="J48" i="19" s="1"/>
  <c r="O43" i="43"/>
  <c r="O31" i="41"/>
  <c r="M31" i="41" s="1"/>
  <c r="N30" i="41"/>
  <c r="O23" i="19"/>
  <c r="O24" i="19"/>
  <c r="W184" i="3" l="1" a="1"/>
  <c r="W184" i="3" s="1"/>
  <c r="X183" i="3"/>
  <c r="X199" i="19" a="1"/>
  <c r="X199" i="19" s="1"/>
  <c r="Y198" i="19"/>
  <c r="J35" i="3"/>
  <c r="H35" i="3"/>
  <c r="L36" i="3"/>
  <c r="O42" i="43"/>
  <c r="P43" i="43"/>
  <c r="N43" i="43" s="1"/>
  <c r="J47" i="19" s="1"/>
  <c r="O30" i="41"/>
  <c r="M30" i="41" s="1"/>
  <c r="N29" i="41"/>
  <c r="O25" i="19"/>
  <c r="O26" i="19"/>
  <c r="W185" i="3" l="1" a="1"/>
  <c r="W185" i="3" s="1"/>
  <c r="X184" i="3"/>
  <c r="X200" i="19" a="1"/>
  <c r="X200" i="19" s="1"/>
  <c r="Y199" i="19"/>
  <c r="J34" i="3"/>
  <c r="H34" i="3"/>
  <c r="L35" i="3"/>
  <c r="O41" i="43"/>
  <c r="P42" i="43"/>
  <c r="N42" i="43" s="1"/>
  <c r="J46" i="19" s="1"/>
  <c r="O29" i="41"/>
  <c r="M29" i="41" s="1"/>
  <c r="N28" i="41"/>
  <c r="O27" i="19"/>
  <c r="O28" i="19"/>
  <c r="W186" i="3" l="1" a="1"/>
  <c r="W186" i="3" s="1"/>
  <c r="X185" i="3"/>
  <c r="X201" i="19" a="1"/>
  <c r="X201" i="19" s="1"/>
  <c r="Y200" i="19"/>
  <c r="J33" i="3"/>
  <c r="H33" i="3"/>
  <c r="L34" i="3"/>
  <c r="P41" i="43"/>
  <c r="N41" i="43" s="1"/>
  <c r="J45" i="19" s="1"/>
  <c r="O40" i="43"/>
  <c r="O28" i="41"/>
  <c r="M28" i="41" s="1"/>
  <c r="N27" i="41"/>
  <c r="O29" i="19"/>
  <c r="O30" i="19"/>
  <c r="W187" i="3" l="1" a="1"/>
  <c r="W187" i="3" s="1"/>
  <c r="X186" i="3"/>
  <c r="Y201" i="19"/>
  <c r="X202" i="19" a="1"/>
  <c r="X202" i="19" s="1"/>
  <c r="L33" i="3"/>
  <c r="J32" i="3"/>
  <c r="H32" i="3"/>
  <c r="P40" i="43"/>
  <c r="N40" i="43" s="1"/>
  <c r="J44" i="19" s="1"/>
  <c r="O39" i="43"/>
  <c r="O27" i="41"/>
  <c r="M27" i="41" s="1"/>
  <c r="N26" i="41"/>
  <c r="O31" i="19"/>
  <c r="O32" i="19"/>
  <c r="W188" i="3" l="1" a="1"/>
  <c r="W188" i="3" s="1"/>
  <c r="X187" i="3"/>
  <c r="X203" i="19" a="1"/>
  <c r="X203" i="19" s="1"/>
  <c r="Y202" i="19"/>
  <c r="J31" i="3"/>
  <c r="H31" i="3"/>
  <c r="L32" i="3"/>
  <c r="O38" i="43"/>
  <c r="P39" i="43"/>
  <c r="N39" i="43" s="1"/>
  <c r="J43" i="19" s="1"/>
  <c r="N25" i="41"/>
  <c r="O26" i="41"/>
  <c r="M26" i="41" s="1"/>
  <c r="O33" i="19"/>
  <c r="O35" i="19"/>
  <c r="W189" i="3" l="1" a="1"/>
  <c r="W189" i="3" s="1"/>
  <c r="X188" i="3"/>
  <c r="Y203" i="19"/>
  <c r="X204" i="19" a="1"/>
  <c r="X204" i="19" s="1"/>
  <c r="J30" i="3"/>
  <c r="H30" i="3"/>
  <c r="L31" i="3"/>
  <c r="O37" i="43"/>
  <c r="P38" i="43"/>
  <c r="N38" i="43" s="1"/>
  <c r="J42" i="19" s="1"/>
  <c r="O25" i="41"/>
  <c r="M25" i="41" s="1"/>
  <c r="N24" i="41"/>
  <c r="O34" i="19"/>
  <c r="O37" i="19"/>
  <c r="W190" i="3" l="1" a="1"/>
  <c r="W190" i="3" s="1"/>
  <c r="X189" i="3"/>
  <c r="X205" i="19" a="1"/>
  <c r="X205" i="19" s="1"/>
  <c r="Y204" i="19"/>
  <c r="J29" i="3"/>
  <c r="H29" i="3"/>
  <c r="L30" i="3"/>
  <c r="O36" i="43"/>
  <c r="P37" i="43"/>
  <c r="N37" i="43" s="1"/>
  <c r="J41" i="19" s="1"/>
  <c r="O24" i="41"/>
  <c r="M24" i="41" s="1"/>
  <c r="N23" i="41"/>
  <c r="O36" i="19"/>
  <c r="O38" i="19"/>
  <c r="W191" i="3" l="1" a="1"/>
  <c r="W191" i="3" s="1"/>
  <c r="X190" i="3"/>
  <c r="Y205" i="19"/>
  <c r="X206" i="19" a="1"/>
  <c r="X206" i="19" s="1"/>
  <c r="L29" i="3"/>
  <c r="J28" i="3"/>
  <c r="H28" i="3"/>
  <c r="P36" i="43"/>
  <c r="N36" i="43" s="1"/>
  <c r="J40" i="19" s="1"/>
  <c r="O35" i="43"/>
  <c r="N22" i="41"/>
  <c r="O23" i="41"/>
  <c r="M23" i="41" s="1"/>
  <c r="O39" i="19"/>
  <c r="O41" i="19"/>
  <c r="W192" i="3" l="1" a="1"/>
  <c r="W192" i="3" s="1"/>
  <c r="X191" i="3"/>
  <c r="X207" i="19" a="1"/>
  <c r="X207" i="19" s="1"/>
  <c r="Y206" i="19"/>
  <c r="J27" i="3"/>
  <c r="H27" i="3"/>
  <c r="L28" i="3"/>
  <c r="O34" i="43"/>
  <c r="P35" i="43"/>
  <c r="N35" i="43" s="1"/>
  <c r="J39" i="19" s="1"/>
  <c r="O22" i="41"/>
  <c r="M22" i="41" s="1"/>
  <c r="N21" i="41"/>
  <c r="O40" i="19"/>
  <c r="O42" i="19"/>
  <c r="W193" i="3" l="1" a="1"/>
  <c r="W193" i="3" s="1"/>
  <c r="X192" i="3"/>
  <c r="X208" i="19" a="1"/>
  <c r="X208" i="19" s="1"/>
  <c r="Y207" i="19"/>
  <c r="J26" i="3"/>
  <c r="H26" i="3"/>
  <c r="L27" i="3"/>
  <c r="O33" i="43"/>
  <c r="P34" i="43"/>
  <c r="N34" i="43" s="1"/>
  <c r="J38" i="19" s="1"/>
  <c r="N20" i="41"/>
  <c r="O21" i="41"/>
  <c r="M21" i="41" s="1"/>
  <c r="O43" i="19"/>
  <c r="O45" i="19"/>
  <c r="W194" i="3" l="1" a="1"/>
  <c r="W194" i="3" s="1"/>
  <c r="X193" i="3"/>
  <c r="Y208" i="19"/>
  <c r="X209" i="19" a="1"/>
  <c r="X209" i="19" s="1"/>
  <c r="J25" i="3"/>
  <c r="H25" i="3"/>
  <c r="L26" i="3"/>
  <c r="O32" i="43"/>
  <c r="P33" i="43"/>
  <c r="N33" i="43" s="1"/>
  <c r="J37" i="19" s="1"/>
  <c r="O20" i="41"/>
  <c r="M20" i="41" s="1"/>
  <c r="N19" i="41"/>
  <c r="O44" i="19"/>
  <c r="O46" i="19"/>
  <c r="W195" i="3" l="1" a="1"/>
  <c r="W195" i="3" s="1"/>
  <c r="X194" i="3"/>
  <c r="X210" i="19" a="1"/>
  <c r="X210" i="19" s="1"/>
  <c r="Y209" i="19"/>
  <c r="J24" i="3"/>
  <c r="H24" i="3"/>
  <c r="L25" i="3"/>
  <c r="O31" i="43"/>
  <c r="P32" i="43"/>
  <c r="N32" i="43" s="1"/>
  <c r="J36" i="19" s="1"/>
  <c r="AL20" i="19" s="1" a="1"/>
  <c r="AL20" i="19" s="1"/>
  <c r="N18" i="41"/>
  <c r="O19" i="41"/>
  <c r="M19" i="41" s="1"/>
  <c r="O47" i="19"/>
  <c r="O48" i="19"/>
  <c r="W196" i="3" l="1" a="1"/>
  <c r="W196" i="3" s="1"/>
  <c r="X195" i="3"/>
  <c r="Y210" i="19"/>
  <c r="X211" i="19" a="1"/>
  <c r="X211" i="19" s="1"/>
  <c r="J23" i="3"/>
  <c r="H23" i="3"/>
  <c r="L24" i="3"/>
  <c r="P31" i="43"/>
  <c r="N31" i="43" s="1"/>
  <c r="J35" i="19" s="1"/>
  <c r="AL19" i="19" s="1"/>
  <c r="O30" i="43"/>
  <c r="O18" i="41"/>
  <c r="M18" i="41" s="1"/>
  <c r="N17" i="41"/>
  <c r="O49" i="19"/>
  <c r="O51" i="19"/>
  <c r="W197" i="3" l="1" a="1"/>
  <c r="W197" i="3" s="1"/>
  <c r="X196" i="3"/>
  <c r="Y211" i="19"/>
  <c r="X212" i="19" a="1"/>
  <c r="X212" i="19" s="1"/>
  <c r="J22" i="3"/>
  <c r="H22" i="3"/>
  <c r="L23" i="3"/>
  <c r="O29" i="43"/>
  <c r="P30" i="43"/>
  <c r="N30" i="43" s="1"/>
  <c r="J34" i="19" s="1"/>
  <c r="O17" i="41"/>
  <c r="M17" i="41" s="1"/>
  <c r="N16" i="41"/>
  <c r="O50" i="19"/>
  <c r="O52" i="19"/>
  <c r="W198" i="3" l="1" a="1"/>
  <c r="W198" i="3" s="1"/>
  <c r="X197" i="3"/>
  <c r="X213" i="19" a="1"/>
  <c r="X213" i="19" s="1"/>
  <c r="Y212" i="19"/>
  <c r="J21" i="3"/>
  <c r="H21" i="3"/>
  <c r="L22" i="3"/>
  <c r="P29" i="43"/>
  <c r="N29" i="43" s="1"/>
  <c r="J33" i="19" s="1"/>
  <c r="O28" i="43"/>
  <c r="O16" i="41"/>
  <c r="M16" i="41" s="1"/>
  <c r="N15" i="41"/>
  <c r="O54" i="19"/>
  <c r="O53" i="19"/>
  <c r="W199" i="3" l="1" a="1"/>
  <c r="W199" i="3" s="1"/>
  <c r="X198" i="3"/>
  <c r="Y213" i="19"/>
  <c r="X214" i="19" a="1"/>
  <c r="X214" i="19" s="1"/>
  <c r="J20" i="3"/>
  <c r="H20" i="3"/>
  <c r="L21" i="3"/>
  <c r="S21" i="3" s="1"/>
  <c r="O27" i="43"/>
  <c r="P28" i="43"/>
  <c r="N28" i="43" s="1"/>
  <c r="J32" i="19" s="1"/>
  <c r="N14" i="41"/>
  <c r="O14" i="41" s="1"/>
  <c r="M14" i="41" s="1"/>
  <c r="O15" i="41"/>
  <c r="M15" i="41" s="1"/>
  <c r="O55" i="19"/>
  <c r="O56" i="19"/>
  <c r="W200" i="3" l="1" a="1"/>
  <c r="W200" i="3" s="1"/>
  <c r="X199" i="3"/>
  <c r="X215" i="19" a="1"/>
  <c r="X215" i="19" s="1"/>
  <c r="Y214" i="19"/>
  <c r="J19" i="3"/>
  <c r="H19" i="3"/>
  <c r="J18" i="3"/>
  <c r="H18" i="3"/>
  <c r="L18" i="3" s="1"/>
  <c r="L20" i="3"/>
  <c r="O26" i="43"/>
  <c r="P27" i="43"/>
  <c r="N27" i="43" s="1"/>
  <c r="J31" i="19" s="1"/>
  <c r="O57" i="19"/>
  <c r="O58" i="19"/>
  <c r="AL39" i="3" l="1"/>
  <c r="AK39" i="3"/>
  <c r="AL21" i="3"/>
  <c r="AL30" i="3"/>
  <c r="AK30" i="3"/>
  <c r="AK21" i="3"/>
  <c r="AK22" i="3"/>
  <c r="AK40" i="3"/>
  <c r="AK31" i="3"/>
  <c r="AL22" i="3"/>
  <c r="AL31" i="3"/>
  <c r="AL40" i="3"/>
  <c r="W201" i="3" a="1"/>
  <c r="W201" i="3" s="1"/>
  <c r="X200" i="3"/>
  <c r="Y215" i="19"/>
  <c r="X216" i="19" a="1"/>
  <c r="X216" i="19" s="1"/>
  <c r="L19" i="3"/>
  <c r="S19" i="3" s="1"/>
  <c r="P26" i="43"/>
  <c r="N26" i="43" s="1"/>
  <c r="J30" i="19" s="1"/>
  <c r="O25" i="43"/>
  <c r="O59" i="19"/>
  <c r="O60" i="19"/>
  <c r="S18" i="3" l="1"/>
  <c r="AL23" i="3"/>
  <c r="AL24" i="3" s="1"/>
  <c r="AL41" i="3"/>
  <c r="AL42" i="3" s="1"/>
  <c r="AL32" i="3"/>
  <c r="AL33" i="3" s="1"/>
  <c r="W202" i="3" a="1"/>
  <c r="W202" i="3" s="1"/>
  <c r="X201" i="3"/>
  <c r="AK32" i="3"/>
  <c r="AK33" i="3" s="1"/>
  <c r="AK41" i="3"/>
  <c r="AK42" i="3" s="1"/>
  <c r="AK23" i="3"/>
  <c r="AK24" i="3" s="1"/>
  <c r="Y216" i="19"/>
  <c r="X217" i="19" a="1"/>
  <c r="X217" i="19" s="1"/>
  <c r="S20" i="3"/>
  <c r="S22" i="3" s="1"/>
  <c r="S23" i="3" s="1"/>
  <c r="S24" i="3" s="1"/>
  <c r="S25" i="3" s="1"/>
  <c r="S26" i="3" s="1"/>
  <c r="S27" i="3" s="1"/>
  <c r="S28" i="3" s="1"/>
  <c r="S29" i="3" s="1"/>
  <c r="S30" i="3" s="1"/>
  <c r="S31" i="3" s="1"/>
  <c r="S32" i="3" s="1"/>
  <c r="S33" i="3" s="1"/>
  <c r="S34" i="3" s="1"/>
  <c r="S35" i="3" s="1"/>
  <c r="S36" i="3" s="1"/>
  <c r="S37" i="3" s="1"/>
  <c r="S38" i="3" s="1"/>
  <c r="S39" i="3" s="1"/>
  <c r="S40" i="3" s="1"/>
  <c r="S41" i="3" s="1"/>
  <c r="S42" i="3" s="1"/>
  <c r="S43" i="3" s="1"/>
  <c r="S44" i="3" s="1"/>
  <c r="S45" i="3" s="1"/>
  <c r="S46" i="3" s="1"/>
  <c r="S47" i="3" s="1"/>
  <c r="S48" i="3" s="1"/>
  <c r="S49" i="3" s="1"/>
  <c r="O24" i="43"/>
  <c r="P25" i="43"/>
  <c r="N25" i="43" s="1"/>
  <c r="J29" i="19" s="1"/>
  <c r="O61" i="19"/>
  <c r="O63" i="19"/>
  <c r="S50" i="3" l="1"/>
  <c r="S51" i="3" s="1"/>
  <c r="S52" i="3" s="1"/>
  <c r="Z18" i="3"/>
  <c r="AI32" i="3"/>
  <c r="AI37" i="3" s="1"/>
  <c r="AI20" i="3"/>
  <c r="AI26" i="3"/>
  <c r="AB28" i="3" s="1"/>
  <c r="W203" i="3" a="1"/>
  <c r="W203" i="3" s="1"/>
  <c r="X202" i="3"/>
  <c r="X218" i="19" a="1"/>
  <c r="X218" i="19" s="1"/>
  <c r="Y217" i="19"/>
  <c r="P24" i="43"/>
  <c r="N24" i="43" s="1"/>
  <c r="J28" i="19" s="1"/>
  <c r="O23" i="43"/>
  <c r="O62" i="19"/>
  <c r="O64" i="19"/>
  <c r="Y19" i="3" l="1"/>
  <c r="Y20" i="3" s="1"/>
  <c r="Y21" i="3" s="1"/>
  <c r="Y22" i="3" s="1"/>
  <c r="AI19" i="3"/>
  <c r="AB24" i="3" s="1"/>
  <c r="AB25" i="3"/>
  <c r="AI38" i="3"/>
  <c r="AI39" i="3" s="1"/>
  <c r="AI41" i="3"/>
  <c r="AI33" i="3"/>
  <c r="AK45" i="3" s="1" a="1"/>
  <c r="AK45" i="3" s="1"/>
  <c r="AK47" i="3" s="1"/>
  <c r="AI25" i="3"/>
  <c r="AB27" i="3" s="1"/>
  <c r="AI22" i="3"/>
  <c r="AB26" i="3" s="1"/>
  <c r="W204" i="3" a="1"/>
  <c r="W204" i="3" s="1"/>
  <c r="X203" i="3"/>
  <c r="Y218" i="19"/>
  <c r="X219" i="19" a="1"/>
  <c r="X219" i="19" s="1"/>
  <c r="O22" i="43"/>
  <c r="P23" i="43"/>
  <c r="N23" i="43" s="1"/>
  <c r="J27" i="19" s="1"/>
  <c r="O65" i="19"/>
  <c r="O66" i="19"/>
  <c r="AL43" i="3" l="1"/>
  <c r="AL45" i="3" a="1"/>
  <c r="AL45" i="3" s="1"/>
  <c r="AL47" i="3" s="1"/>
  <c r="Y23" i="3"/>
  <c r="Z23" i="3" s="1"/>
  <c r="AL44" i="3"/>
  <c r="AL46" i="3" s="1"/>
  <c r="AK44" i="3"/>
  <c r="AK46" i="3" s="1"/>
  <c r="AK43" i="3"/>
  <c r="AI42" i="3"/>
  <c r="AI43" i="3" s="1"/>
  <c r="W205" i="3" a="1"/>
  <c r="W205" i="3" s="1"/>
  <c r="X204" i="3"/>
  <c r="X220" i="19" a="1"/>
  <c r="X220" i="19" s="1"/>
  <c r="Y219" i="19"/>
  <c r="P22" i="43"/>
  <c r="N22" i="43" s="1"/>
  <c r="J26" i="19" s="1"/>
  <c r="O21" i="43"/>
  <c r="O67" i="19"/>
  <c r="O68" i="19"/>
  <c r="Y24" i="3" l="1"/>
  <c r="Y25" i="3" s="1"/>
  <c r="Y26" i="3" s="1"/>
  <c r="Y27" i="3" s="1"/>
  <c r="Y28" i="3" s="1"/>
  <c r="Y29" i="3" s="1"/>
  <c r="Y30" i="3" s="1"/>
  <c r="Y31" i="3" s="1"/>
  <c r="Y32" i="3" s="1"/>
  <c r="Y33" i="3" s="1"/>
  <c r="Y34" i="3" s="1"/>
  <c r="Y35" i="3" s="1"/>
  <c r="Y36" i="3" s="1"/>
  <c r="Y37" i="3" s="1"/>
  <c r="Y38" i="3" s="1"/>
  <c r="Y39" i="3" s="1"/>
  <c r="Y40" i="3" s="1"/>
  <c r="Y41" i="3" s="1"/>
  <c r="Y42" i="3" s="1"/>
  <c r="Y43" i="3" s="1"/>
  <c r="Y44" i="3" s="1"/>
  <c r="Y45" i="3" s="1"/>
  <c r="Y46" i="3" s="1"/>
  <c r="Y47" i="3" s="1"/>
  <c r="Y48" i="3" s="1"/>
  <c r="Y49" i="3" s="1"/>
  <c r="Y50" i="3" s="1"/>
  <c r="Y51" i="3" s="1"/>
  <c r="Y52" i="3" s="1"/>
  <c r="Y53" i="3" s="1"/>
  <c r="Y54" i="3" s="1"/>
  <c r="Y55" i="3" s="1"/>
  <c r="Y56" i="3" s="1"/>
  <c r="Y57" i="3" s="1"/>
  <c r="Y58" i="3" s="1"/>
  <c r="Y59" i="3" s="1"/>
  <c r="Y60" i="3" s="1"/>
  <c r="Y61" i="3" s="1"/>
  <c r="Y62" i="3" s="1"/>
  <c r="Y63" i="3" s="1"/>
  <c r="Y64" i="3" s="1"/>
  <c r="Y65" i="3" s="1"/>
  <c r="Y66" i="3" s="1"/>
  <c r="Y67" i="3" s="1"/>
  <c r="Y68" i="3" s="1"/>
  <c r="Y69" i="3" s="1"/>
  <c r="Y70" i="3" s="1"/>
  <c r="Y71" i="3" s="1"/>
  <c r="Y72" i="3" s="1"/>
  <c r="Y73" i="3" s="1"/>
  <c r="Y74" i="3" s="1"/>
  <c r="Y75" i="3" s="1"/>
  <c r="Y76" i="3" s="1"/>
  <c r="Y77" i="3" s="1"/>
  <c r="Y78" i="3" s="1"/>
  <c r="Y79" i="3" s="1"/>
  <c r="Y80" i="3" s="1"/>
  <c r="Y81" i="3" s="1"/>
  <c r="Y82" i="3" s="1"/>
  <c r="Y83" i="3" s="1"/>
  <c r="Y84" i="3" s="1"/>
  <c r="Y85" i="3" s="1"/>
  <c r="Y86" i="3" s="1"/>
  <c r="Y87" i="3" s="1"/>
  <c r="Y88" i="3" s="1"/>
  <c r="Y89" i="3" s="1"/>
  <c r="Y90" i="3" s="1"/>
  <c r="Y91" i="3" s="1"/>
  <c r="Y92" i="3" s="1"/>
  <c r="Y93" i="3" s="1"/>
  <c r="Y94" i="3" s="1"/>
  <c r="Y95" i="3" s="1"/>
  <c r="Y96" i="3" s="1"/>
  <c r="Y97" i="3" s="1"/>
  <c r="Y98" i="3" s="1"/>
  <c r="Y99" i="3" s="1"/>
  <c r="Y100" i="3" s="1"/>
  <c r="Y101" i="3" s="1"/>
  <c r="Y102" i="3" s="1"/>
  <c r="Y103" i="3" s="1"/>
  <c r="Y104" i="3" s="1"/>
  <c r="Y105" i="3" s="1"/>
  <c r="Y106" i="3" s="1"/>
  <c r="Y107" i="3" s="1"/>
  <c r="Y108" i="3" s="1"/>
  <c r="Y109" i="3" s="1"/>
  <c r="Y110" i="3" s="1"/>
  <c r="Y111" i="3" s="1"/>
  <c r="Y112" i="3" s="1"/>
  <c r="Y113" i="3" s="1"/>
  <c r="Y114" i="3" s="1"/>
  <c r="Y115" i="3" s="1"/>
  <c r="Y116" i="3" s="1"/>
  <c r="Y117" i="3" s="1"/>
  <c r="Y118" i="3" s="1"/>
  <c r="Y119" i="3" s="1"/>
  <c r="Y120" i="3" s="1"/>
  <c r="Y121" i="3" s="1"/>
  <c r="Y122" i="3" s="1"/>
  <c r="Y123" i="3" s="1"/>
  <c r="Y124" i="3" s="1"/>
  <c r="Y125" i="3" s="1"/>
  <c r="Y126" i="3" s="1"/>
  <c r="Y127" i="3" s="1"/>
  <c r="Y128" i="3" s="1"/>
  <c r="Y129" i="3" s="1"/>
  <c r="Y130" i="3" s="1"/>
  <c r="Y131" i="3" s="1"/>
  <c r="Y132" i="3" s="1"/>
  <c r="Y133" i="3" s="1"/>
  <c r="Y134" i="3" s="1"/>
  <c r="Y135" i="3" s="1"/>
  <c r="Y136" i="3" s="1"/>
  <c r="Y137" i="3" s="1"/>
  <c r="Y138" i="3" s="1"/>
  <c r="Y139" i="3" s="1"/>
  <c r="Y140" i="3" s="1"/>
  <c r="Y141" i="3" s="1"/>
  <c r="Y142" i="3" s="1"/>
  <c r="Y143" i="3" s="1"/>
  <c r="Y144" i="3" s="1"/>
  <c r="Y145" i="3" s="1"/>
  <c r="Y146" i="3" s="1"/>
  <c r="Y147" i="3" s="1"/>
  <c r="Y148" i="3" s="1"/>
  <c r="Y149" i="3" s="1"/>
  <c r="Y150" i="3" s="1"/>
  <c r="Y151" i="3" s="1"/>
  <c r="Y152" i="3" s="1"/>
  <c r="Y153" i="3" s="1"/>
  <c r="Y154" i="3" s="1"/>
  <c r="Y155" i="3" s="1"/>
  <c r="Y156" i="3" s="1"/>
  <c r="Y157" i="3" s="1"/>
  <c r="Y158" i="3" s="1"/>
  <c r="Y159" i="3" s="1"/>
  <c r="Y160" i="3" s="1"/>
  <c r="Y161" i="3" s="1"/>
  <c r="Y162" i="3" s="1"/>
  <c r="Y163" i="3" s="1"/>
  <c r="Y164" i="3" s="1"/>
  <c r="Y165" i="3" s="1"/>
  <c r="Y166" i="3" s="1"/>
  <c r="Y167" i="3" s="1"/>
  <c r="Y168" i="3" s="1"/>
  <c r="Y169" i="3" s="1"/>
  <c r="Y170" i="3" s="1"/>
  <c r="Y171" i="3" s="1"/>
  <c r="Y172" i="3" s="1"/>
  <c r="Y173" i="3" s="1"/>
  <c r="Y174" i="3" s="1"/>
  <c r="Y175" i="3" s="1"/>
  <c r="Y176" i="3" s="1"/>
  <c r="Y177" i="3" s="1"/>
  <c r="Y178" i="3" s="1"/>
  <c r="Y179" i="3" s="1"/>
  <c r="Y180" i="3" s="1"/>
  <c r="Y181" i="3" s="1"/>
  <c r="Y182" i="3" s="1"/>
  <c r="Y183" i="3" s="1"/>
  <c r="Y184" i="3" s="1"/>
  <c r="Y185" i="3" s="1"/>
  <c r="Y186" i="3" s="1"/>
  <c r="Y187" i="3" s="1"/>
  <c r="Y188" i="3" s="1"/>
  <c r="Y189" i="3" s="1"/>
  <c r="Y190" i="3" s="1"/>
  <c r="Y191" i="3" s="1"/>
  <c r="Y192" i="3" s="1"/>
  <c r="Y193" i="3" s="1"/>
  <c r="Y194" i="3" s="1"/>
  <c r="Y195" i="3" s="1"/>
  <c r="Y196" i="3" s="1"/>
  <c r="Y197" i="3" s="1"/>
  <c r="Y198" i="3" s="1"/>
  <c r="Y199" i="3" s="1"/>
  <c r="Y200" i="3" s="1"/>
  <c r="AL54" i="3"/>
  <c r="AL56" i="3" s="1"/>
  <c r="AL53" i="3"/>
  <c r="AK48" i="3"/>
  <c r="AK49" i="3" s="1"/>
  <c r="AL48" i="3"/>
  <c r="AL49" i="3" s="1"/>
  <c r="W206" i="3" a="1"/>
  <c r="W206" i="3" s="1"/>
  <c r="X205" i="3"/>
  <c r="Y220" i="19"/>
  <c r="X221" i="19" a="1"/>
  <c r="X221" i="19" s="1"/>
  <c r="O20" i="43"/>
  <c r="P21" i="43"/>
  <c r="N21" i="43" s="1"/>
  <c r="J25" i="19" s="1"/>
  <c r="O69" i="19"/>
  <c r="O70" i="19"/>
  <c r="Y201" i="3" l="1"/>
  <c r="Z200" i="3"/>
  <c r="AK53" i="3"/>
  <c r="AK55" i="3" s="1"/>
  <c r="AK54" i="3"/>
  <c r="AK56" i="3" s="1"/>
  <c r="AI45" i="3"/>
  <c r="AL55" i="3"/>
  <c r="AL52" i="3"/>
  <c r="AK52" i="3"/>
  <c r="AI34" i="3"/>
  <c r="AB29" i="3" s="1"/>
  <c r="W207" i="3" a="1"/>
  <c r="W207" i="3" s="1"/>
  <c r="X206" i="3"/>
  <c r="Y221" i="19"/>
  <c r="X222" i="19" a="1"/>
  <c r="X222" i="19" s="1"/>
  <c r="P20" i="43"/>
  <c r="N20" i="43" s="1"/>
  <c r="J24" i="19" s="1"/>
  <c r="O19" i="43"/>
  <c r="O71" i="19"/>
  <c r="O72" i="19"/>
  <c r="Y202" i="3" l="1"/>
  <c r="Z201" i="3"/>
  <c r="AL57" i="3"/>
  <c r="AL58" i="3" s="1"/>
  <c r="AK57" i="3"/>
  <c r="AK58" i="3" s="1"/>
  <c r="W208" i="3" a="1"/>
  <c r="W208" i="3" s="1"/>
  <c r="X207" i="3"/>
  <c r="X223" i="19" a="1"/>
  <c r="X223" i="19" s="1"/>
  <c r="Y222" i="19"/>
  <c r="P19" i="43"/>
  <c r="N19" i="43" s="1"/>
  <c r="J23" i="19" s="1"/>
  <c r="O18" i="43"/>
  <c r="O73" i="19"/>
  <c r="O74" i="19"/>
  <c r="Y203" i="3" l="1"/>
  <c r="Z202" i="3"/>
  <c r="AI44" i="3"/>
  <c r="AH45" i="3" s="1"/>
  <c r="W209" i="3" a="1"/>
  <c r="W209" i="3" s="1"/>
  <c r="X208" i="3"/>
  <c r="Y223" i="19"/>
  <c r="X224" i="19" a="1"/>
  <c r="X224" i="19" s="1"/>
  <c r="O17" i="43"/>
  <c r="P18" i="43"/>
  <c r="N18" i="43" s="1"/>
  <c r="J22" i="19" s="1"/>
  <c r="O75" i="19"/>
  <c r="O77" i="19"/>
  <c r="Z203" i="3" l="1"/>
  <c r="Y204" i="3"/>
  <c r="AB30" i="3"/>
  <c r="W210" i="3" a="1"/>
  <c r="W210" i="3" s="1"/>
  <c r="X209" i="3"/>
  <c r="X225" i="19" a="1"/>
  <c r="X225" i="19" s="1"/>
  <c r="Y224" i="19"/>
  <c r="P17" i="43"/>
  <c r="N17" i="43" s="1"/>
  <c r="J21" i="19" s="1"/>
  <c r="O16" i="43"/>
  <c r="O76" i="19"/>
  <c r="O78" i="19"/>
  <c r="Y205" i="3" l="1"/>
  <c r="Z204" i="3"/>
  <c r="W211" i="3" a="1"/>
  <c r="W211" i="3" s="1"/>
  <c r="X210" i="3"/>
  <c r="Y225" i="19"/>
  <c r="X226" i="19" a="1"/>
  <c r="X226" i="19" s="1"/>
  <c r="P16" i="43"/>
  <c r="N16" i="43" s="1"/>
  <c r="J20" i="19" s="1"/>
  <c r="O15" i="43"/>
  <c r="O79" i="19"/>
  <c r="O81" i="19"/>
  <c r="Z205" i="3" l="1"/>
  <c r="Y206" i="3"/>
  <c r="W212" i="3" a="1"/>
  <c r="W212" i="3" s="1"/>
  <c r="X211" i="3"/>
  <c r="Y226" i="19"/>
  <c r="X227" i="19" a="1"/>
  <c r="X227" i="19" s="1"/>
  <c r="Y227" i="19" s="1"/>
  <c r="P15" i="43"/>
  <c r="N15" i="43" s="1"/>
  <c r="O14" i="43"/>
  <c r="P14" i="43" s="1"/>
  <c r="N14" i="43" s="1"/>
  <c r="O80" i="19"/>
  <c r="O82" i="19"/>
  <c r="Z206" i="3" l="1"/>
  <c r="Y207" i="3"/>
  <c r="W213" i="3" a="1"/>
  <c r="W213" i="3" s="1"/>
  <c r="X212" i="3"/>
  <c r="J19" i="19"/>
  <c r="H19" i="19"/>
  <c r="H21" i="19" s="1"/>
  <c r="J18" i="19"/>
  <c r="H18" i="19"/>
  <c r="H20" i="19" s="1"/>
  <c r="O83" i="19"/>
  <c r="O85" i="19"/>
  <c r="Y208" i="3" l="1"/>
  <c r="Z207" i="3"/>
  <c r="AL31" i="19"/>
  <c r="AL30" i="19"/>
  <c r="AL22" i="19"/>
  <c r="AL21" i="19"/>
  <c r="AL40" i="19"/>
  <c r="AL39" i="19"/>
  <c r="W214" i="3" a="1"/>
  <c r="W214" i="3" s="1"/>
  <c r="X213" i="3"/>
  <c r="L18" i="19"/>
  <c r="H22" i="19"/>
  <c r="L20" i="19"/>
  <c r="H23" i="19"/>
  <c r="L21" i="19"/>
  <c r="L19" i="19"/>
  <c r="O84" i="19"/>
  <c r="O87" i="19"/>
  <c r="AL23" i="19" l="1"/>
  <c r="AL24" i="19" s="1"/>
  <c r="Y209" i="3"/>
  <c r="Z208" i="3"/>
  <c r="S19" i="19"/>
  <c r="AL32" i="19"/>
  <c r="AL33" i="19" s="1"/>
  <c r="W215" i="3" a="1"/>
  <c r="W215" i="3" s="1"/>
  <c r="X214" i="3"/>
  <c r="H25" i="19"/>
  <c r="L23" i="19"/>
  <c r="H24" i="19"/>
  <c r="L22" i="19"/>
  <c r="S20" i="19"/>
  <c r="S18" i="19"/>
  <c r="AL41" i="19"/>
  <c r="AL42" i="19" s="1"/>
  <c r="AI32" i="19" s="1"/>
  <c r="O86" i="19"/>
  <c r="O88" i="19"/>
  <c r="Y210" i="3" l="1"/>
  <c r="Z209" i="3"/>
  <c r="S22" i="19"/>
  <c r="W216" i="3" a="1"/>
  <c r="W216" i="3" s="1"/>
  <c r="X215" i="3"/>
  <c r="H26" i="19"/>
  <c r="L24" i="19"/>
  <c r="S23" i="19" s="1"/>
  <c r="L25" i="19"/>
  <c r="H27" i="19"/>
  <c r="S21" i="19"/>
  <c r="O89" i="19"/>
  <c r="O90" i="19"/>
  <c r="Y211" i="3" l="1"/>
  <c r="Z210" i="3"/>
  <c r="W217" i="3" a="1"/>
  <c r="W217" i="3" s="1"/>
  <c r="X216" i="3"/>
  <c r="H29" i="19"/>
  <c r="L27" i="19"/>
  <c r="S24" i="19"/>
  <c r="H28" i="19"/>
  <c r="L26" i="19"/>
  <c r="S26" i="19" s="1"/>
  <c r="O91" i="19"/>
  <c r="O93" i="19"/>
  <c r="Y212" i="3" l="1"/>
  <c r="Z211" i="3"/>
  <c r="W218" i="3" a="1"/>
  <c r="W218" i="3" s="1"/>
  <c r="X217" i="3"/>
  <c r="L29" i="19"/>
  <c r="H31" i="19"/>
  <c r="S25" i="19"/>
  <c r="L28" i="19"/>
  <c r="S28" i="19" s="1"/>
  <c r="H30" i="19"/>
  <c r="O92" i="19"/>
  <c r="O95" i="19"/>
  <c r="Y213" i="3" l="1"/>
  <c r="Z212" i="3"/>
  <c r="W219" i="3" a="1"/>
  <c r="W219" i="3" s="1"/>
  <c r="X218" i="3"/>
  <c r="S27" i="19"/>
  <c r="H33" i="19"/>
  <c r="L31" i="19"/>
  <c r="H32" i="19"/>
  <c r="L30" i="19"/>
  <c r="O94" i="19"/>
  <c r="O96" i="19"/>
  <c r="Y214" i="3" l="1"/>
  <c r="Z213" i="3"/>
  <c r="S30" i="19"/>
  <c r="S29" i="19"/>
  <c r="W220" i="3" a="1"/>
  <c r="W220" i="3" s="1"/>
  <c r="X219" i="3"/>
  <c r="H34" i="19"/>
  <c r="L32" i="19"/>
  <c r="H35" i="19"/>
  <c r="L33" i="19"/>
  <c r="S31" i="19"/>
  <c r="O97" i="19"/>
  <c r="O98" i="19"/>
  <c r="Y215" i="3" l="1"/>
  <c r="Z214" i="3"/>
  <c r="X220" i="3"/>
  <c r="W221" i="3" a="1"/>
  <c r="W221" i="3" s="1"/>
  <c r="H37" i="19"/>
  <c r="L35" i="19"/>
  <c r="S32" i="19"/>
  <c r="L34" i="19"/>
  <c r="S33" i="19" s="1"/>
  <c r="S34" i="19" s="1"/>
  <c r="H36" i="19"/>
  <c r="O99" i="19"/>
  <c r="O101" i="19"/>
  <c r="Y216" i="3" l="1"/>
  <c r="Z215" i="3"/>
  <c r="W222" i="3" a="1"/>
  <c r="W222" i="3" s="1"/>
  <c r="X221" i="3"/>
  <c r="H38" i="19"/>
  <c r="L36" i="19"/>
  <c r="S35" i="19" s="1"/>
  <c r="H39" i="19"/>
  <c r="L37" i="19"/>
  <c r="O100" i="19"/>
  <c r="O102" i="19"/>
  <c r="Y217" i="3" l="1"/>
  <c r="Z216" i="3"/>
  <c r="W223" i="3" a="1"/>
  <c r="W223" i="3" s="1"/>
  <c r="X222" i="3"/>
  <c r="L39" i="19"/>
  <c r="H41" i="19"/>
  <c r="S36" i="19"/>
  <c r="L38" i="19"/>
  <c r="S38" i="19" s="1"/>
  <c r="H40" i="19"/>
  <c r="O103" i="19"/>
  <c r="O104" i="19"/>
  <c r="Y218" i="3" l="1"/>
  <c r="Z217" i="3"/>
  <c r="W224" i="3" a="1"/>
  <c r="W224" i="3" s="1"/>
  <c r="X223" i="3"/>
  <c r="H42" i="19"/>
  <c r="L40" i="19"/>
  <c r="S39" i="19" s="1"/>
  <c r="H43" i="19"/>
  <c r="L41" i="19"/>
  <c r="S37" i="19"/>
  <c r="O105" i="19"/>
  <c r="O107" i="19"/>
  <c r="Y219" i="3" l="1"/>
  <c r="Z218" i="3"/>
  <c r="W225" i="3" a="1"/>
  <c r="W225" i="3" s="1"/>
  <c r="X224" i="3"/>
  <c r="H45" i="19"/>
  <c r="L43" i="19"/>
  <c r="S40" i="19"/>
  <c r="H44" i="19"/>
  <c r="L42" i="19"/>
  <c r="S42" i="19" s="1"/>
  <c r="O106" i="19"/>
  <c r="O108" i="19"/>
  <c r="Z219" i="3" l="1"/>
  <c r="Y220" i="3"/>
  <c r="W226" i="3" a="1"/>
  <c r="W226" i="3" s="1"/>
  <c r="X225" i="3"/>
  <c r="H46" i="19"/>
  <c r="L44" i="19"/>
  <c r="S43" i="19" s="1"/>
  <c r="H47" i="19"/>
  <c r="L45" i="19"/>
  <c r="S41" i="19"/>
  <c r="O109" i="19"/>
  <c r="O111" i="19"/>
  <c r="Y221" i="3" l="1"/>
  <c r="Z220" i="3"/>
  <c r="W227" i="3" a="1"/>
  <c r="W227" i="3" s="1"/>
  <c r="X227" i="3" s="1"/>
  <c r="X226" i="3"/>
  <c r="L47" i="19"/>
  <c r="H49" i="19"/>
  <c r="S44" i="19"/>
  <c r="H48" i="19"/>
  <c r="L46" i="19"/>
  <c r="S46" i="19" s="1"/>
  <c r="O110" i="19"/>
  <c r="O112" i="19"/>
  <c r="Y222" i="3" l="1"/>
  <c r="Z221" i="3"/>
  <c r="L48" i="19"/>
  <c r="S47" i="19" s="1"/>
  <c r="H50" i="19"/>
  <c r="H51" i="19"/>
  <c r="L49" i="19"/>
  <c r="S45" i="19"/>
  <c r="O113" i="19"/>
  <c r="O114" i="19"/>
  <c r="Y223" i="3" l="1"/>
  <c r="Z222" i="3"/>
  <c r="H53" i="19"/>
  <c r="L51" i="19"/>
  <c r="H52" i="19"/>
  <c r="L50" i="19"/>
  <c r="S49" i="19" s="1"/>
  <c r="S50" i="19" s="1"/>
  <c r="S48" i="19"/>
  <c r="O115" i="19"/>
  <c r="O116" i="19"/>
  <c r="Y224" i="3" l="1"/>
  <c r="Z223" i="3"/>
  <c r="H54" i="19"/>
  <c r="L52" i="19"/>
  <c r="H55" i="19"/>
  <c r="L53" i="19"/>
  <c r="O117" i="19"/>
  <c r="O118" i="19"/>
  <c r="Z224" i="3" l="1"/>
  <c r="Y225" i="3"/>
  <c r="AK38" i="19" a="1"/>
  <c r="AK38" i="19" s="1"/>
  <c r="AK29" i="19" a="1"/>
  <c r="AK29" i="19" s="1"/>
  <c r="AK28" i="19"/>
  <c r="AK30" i="19" s="1"/>
  <c r="AK37" i="19"/>
  <c r="AK39" i="19" s="1"/>
  <c r="S52" i="19"/>
  <c r="S51" i="19"/>
  <c r="L55" i="19"/>
  <c r="H57" i="19"/>
  <c r="L54" i="19"/>
  <c r="H56" i="19"/>
  <c r="O119" i="19"/>
  <c r="O120" i="19"/>
  <c r="Y226" i="3" l="1"/>
  <c r="Z225" i="3"/>
  <c r="S53" i="19"/>
  <c r="S54" i="19" s="1"/>
  <c r="H58" i="19"/>
  <c r="L56" i="19"/>
  <c r="H59" i="19"/>
  <c r="L57" i="19"/>
  <c r="O121" i="19"/>
  <c r="O123" i="19"/>
  <c r="Y227" i="3" l="1"/>
  <c r="Z227" i="3" s="1"/>
  <c r="Z226" i="3"/>
  <c r="S56" i="19"/>
  <c r="S55" i="19"/>
  <c r="H61" i="19"/>
  <c r="L59" i="19"/>
  <c r="H60" i="19"/>
  <c r="L58" i="19"/>
  <c r="O122" i="19"/>
  <c r="O124" i="19"/>
  <c r="S58" i="19" l="1"/>
  <c r="S57" i="19"/>
  <c r="H63" i="19"/>
  <c r="L61" i="19"/>
  <c r="L60" i="19"/>
  <c r="H62" i="19"/>
  <c r="O125" i="19"/>
  <c r="O127" i="19"/>
  <c r="S60" i="19" l="1"/>
  <c r="S59" i="19"/>
  <c r="H64" i="19"/>
  <c r="L62" i="19"/>
  <c r="S61" i="19" s="1"/>
  <c r="H65" i="19"/>
  <c r="L63" i="19"/>
  <c r="O126" i="19"/>
  <c r="O128" i="19"/>
  <c r="S62" i="19" l="1"/>
  <c r="H67" i="19"/>
  <c r="L65" i="19"/>
  <c r="H66" i="19"/>
  <c r="L64" i="19"/>
  <c r="O129" i="19"/>
  <c r="O131" i="19"/>
  <c r="S64" i="19" l="1"/>
  <c r="S63" i="19"/>
  <c r="L66" i="19"/>
  <c r="H68" i="19"/>
  <c r="L67" i="19"/>
  <c r="H69" i="19"/>
  <c r="O130" i="19"/>
  <c r="O132" i="19"/>
  <c r="S66" i="19" l="1"/>
  <c r="S65" i="19"/>
  <c r="H71" i="19"/>
  <c r="L69" i="19"/>
  <c r="H70" i="19"/>
  <c r="L68" i="19"/>
  <c r="O133" i="19"/>
  <c r="O134" i="19"/>
  <c r="S68" i="19" l="1"/>
  <c r="S67" i="19"/>
  <c r="H72" i="19"/>
  <c r="L70" i="19"/>
  <c r="H73" i="19"/>
  <c r="L71" i="19"/>
  <c r="O135" i="19"/>
  <c r="O137" i="19"/>
  <c r="S70" i="19" l="1"/>
  <c r="S69" i="19"/>
  <c r="L73" i="19"/>
  <c r="H75" i="19"/>
  <c r="H74" i="19"/>
  <c r="L72" i="19"/>
  <c r="O136" i="19"/>
  <c r="O138" i="19"/>
  <c r="S72" i="19" l="1"/>
  <c r="S71" i="19"/>
  <c r="H76" i="19"/>
  <c r="L74" i="19"/>
  <c r="H77" i="19"/>
  <c r="L75" i="19"/>
  <c r="O139" i="19"/>
  <c r="O140" i="19"/>
  <c r="S74" i="19" l="1"/>
  <c r="S73" i="19"/>
  <c r="L77" i="19"/>
  <c r="H79" i="19"/>
  <c r="H78" i="19"/>
  <c r="L76" i="19"/>
  <c r="S75" i="19" s="1"/>
  <c r="O141" i="19"/>
  <c r="O142" i="19"/>
  <c r="S76" i="19" l="1"/>
  <c r="H80" i="19"/>
  <c r="L78" i="19"/>
  <c r="H81" i="19"/>
  <c r="L79" i="19"/>
  <c r="O143" i="19"/>
  <c r="O145" i="19"/>
  <c r="S78" i="19" l="1"/>
  <c r="S77" i="19"/>
  <c r="H83" i="19"/>
  <c r="L81" i="19"/>
  <c r="H82" i="19"/>
  <c r="L80" i="19"/>
  <c r="S79" i="19" s="1"/>
  <c r="S80" i="19" s="1"/>
  <c r="O144" i="19"/>
  <c r="O146" i="19"/>
  <c r="L82" i="19" l="1"/>
  <c r="H84" i="19"/>
  <c r="L83" i="19"/>
  <c r="H85" i="19"/>
  <c r="O147" i="19"/>
  <c r="O148" i="19"/>
  <c r="S82" i="19" l="1"/>
  <c r="S81" i="19"/>
  <c r="H87" i="19"/>
  <c r="L85" i="19"/>
  <c r="H86" i="19"/>
  <c r="L84" i="19"/>
  <c r="O149" i="19"/>
  <c r="O150" i="19"/>
  <c r="S84" i="19" l="1"/>
  <c r="S83" i="19"/>
  <c r="H88" i="19"/>
  <c r="L86" i="19"/>
  <c r="L87" i="19"/>
  <c r="H89" i="19"/>
  <c r="O151" i="19"/>
  <c r="O152" i="19"/>
  <c r="S86" i="19" l="1"/>
  <c r="S85" i="19"/>
  <c r="H91" i="19"/>
  <c r="L89" i="19"/>
  <c r="L88" i="19"/>
  <c r="H90" i="19"/>
  <c r="O153" i="19"/>
  <c r="O154" i="19"/>
  <c r="S88" i="19" l="1"/>
  <c r="S87" i="19"/>
  <c r="H92" i="19"/>
  <c r="L90" i="19"/>
  <c r="H93" i="19"/>
  <c r="L91" i="19"/>
  <c r="S100" i="19"/>
  <c r="S99" i="19"/>
  <c r="O155" i="19"/>
  <c r="O156" i="19"/>
  <c r="S90" i="19" l="1"/>
  <c r="S89" i="19"/>
  <c r="H94" i="19"/>
  <c r="L92" i="19"/>
  <c r="H95" i="19"/>
  <c r="L93" i="19"/>
  <c r="S102" i="19"/>
  <c r="S101" i="19"/>
  <c r="O157" i="19"/>
  <c r="O158" i="19"/>
  <c r="S92" i="19" l="1"/>
  <c r="S91" i="19"/>
  <c r="H97" i="19"/>
  <c r="L95" i="19"/>
  <c r="H96" i="19"/>
  <c r="L94" i="19"/>
  <c r="S104" i="19"/>
  <c r="S103" i="19"/>
  <c r="O159" i="19"/>
  <c r="O160" i="19"/>
  <c r="S94" i="19" l="1"/>
  <c r="S93" i="19"/>
  <c r="L96" i="19"/>
  <c r="H98" i="19"/>
  <c r="H99" i="19"/>
  <c r="L97" i="19"/>
  <c r="S106" i="19"/>
  <c r="S105" i="19"/>
  <c r="Z19" i="3"/>
  <c r="O161" i="19"/>
  <c r="O162" i="19"/>
  <c r="S96" i="19" l="1"/>
  <c r="Z18" i="19" s="1"/>
  <c r="Z19" i="19" s="1"/>
  <c r="Z20" i="19" s="1"/>
  <c r="Z21" i="19" s="1"/>
  <c r="Z22" i="19" s="1"/>
  <c r="Z23" i="19" s="1"/>
  <c r="Z24" i="19" s="1"/>
  <c r="Z25" i="19" s="1"/>
  <c r="Z26" i="19" s="1"/>
  <c r="Z27" i="19" s="1"/>
  <c r="Z28" i="19" s="1"/>
  <c r="Z29" i="19" s="1"/>
  <c r="Z30" i="19" s="1"/>
  <c r="Z31" i="19" s="1"/>
  <c r="Z32" i="19" s="1"/>
  <c r="Z33" i="19" s="1"/>
  <c r="Z34" i="19" s="1"/>
  <c r="Z35" i="19" s="1"/>
  <c r="Z36" i="19" s="1"/>
  <c r="Z37" i="19" s="1"/>
  <c r="Z38" i="19" s="1"/>
  <c r="Z39" i="19" s="1"/>
  <c r="Z40" i="19" s="1"/>
  <c r="Z41" i="19" s="1"/>
  <c r="Z42" i="19" s="1"/>
  <c r="Z43" i="19" s="1"/>
  <c r="Z44" i="19" s="1"/>
  <c r="Z45" i="19" s="1"/>
  <c r="S95" i="19"/>
  <c r="L99" i="19"/>
  <c r="H101" i="19"/>
  <c r="H100" i="19"/>
  <c r="L98" i="19"/>
  <c r="S97" i="19" s="1"/>
  <c r="S98" i="19" s="1"/>
  <c r="S108" i="19"/>
  <c r="S107" i="19"/>
  <c r="Z20" i="3"/>
  <c r="O163" i="19"/>
  <c r="O164" i="19"/>
  <c r="L100" i="19" l="1"/>
  <c r="H102" i="19"/>
  <c r="H103" i="19"/>
  <c r="L101" i="19"/>
  <c r="S110" i="19"/>
  <c r="S109" i="19"/>
  <c r="Z21" i="3"/>
  <c r="O165" i="19"/>
  <c r="O167" i="19"/>
  <c r="L103" i="19" l="1"/>
  <c r="H105" i="19"/>
  <c r="L102" i="19"/>
  <c r="H104" i="19"/>
  <c r="S112" i="19"/>
  <c r="S111" i="19"/>
  <c r="Z22" i="3"/>
  <c r="O166" i="19"/>
  <c r="O168" i="19"/>
  <c r="H106" i="19" l="1"/>
  <c r="L104" i="19"/>
  <c r="L105" i="19"/>
  <c r="H107" i="19"/>
  <c r="S114" i="19"/>
  <c r="S113" i="19"/>
  <c r="O169" i="19"/>
  <c r="O170" i="19"/>
  <c r="L107" i="19" l="1"/>
  <c r="H109" i="19"/>
  <c r="H108" i="19"/>
  <c r="L106" i="19"/>
  <c r="S116" i="19"/>
  <c r="S115" i="19"/>
  <c r="Z24" i="3"/>
  <c r="O171" i="19"/>
  <c r="O172" i="19"/>
  <c r="H110" i="19" l="1"/>
  <c r="L108" i="19"/>
  <c r="H111" i="19"/>
  <c r="L109" i="19"/>
  <c r="S118" i="19"/>
  <c r="S117" i="19"/>
  <c r="Z25" i="3"/>
  <c r="O173" i="19"/>
  <c r="O175" i="19"/>
  <c r="L111" i="19" l="1"/>
  <c r="H113" i="19"/>
  <c r="H112" i="19"/>
  <c r="L110" i="19"/>
  <c r="S120" i="19"/>
  <c r="S119" i="19"/>
  <c r="Z26" i="3"/>
  <c r="O174" i="19"/>
  <c r="O176" i="19"/>
  <c r="H114" i="19" l="1"/>
  <c r="L112" i="19"/>
  <c r="L113" i="19"/>
  <c r="H115" i="19"/>
  <c r="S122" i="19"/>
  <c r="S121" i="19"/>
  <c r="Z27" i="3"/>
  <c r="O177" i="19"/>
  <c r="O178" i="19"/>
  <c r="H117" i="19" l="1"/>
  <c r="L115" i="19"/>
  <c r="L114" i="19"/>
  <c r="H116" i="19"/>
  <c r="S124" i="19"/>
  <c r="S123" i="19"/>
  <c r="Z28" i="3"/>
  <c r="O179" i="19"/>
  <c r="O181" i="19"/>
  <c r="H118" i="19" l="1"/>
  <c r="L116" i="19"/>
  <c r="H119" i="19"/>
  <c r="L117" i="19"/>
  <c r="S126" i="19"/>
  <c r="S125" i="19"/>
  <c r="Z29" i="3"/>
  <c r="O180" i="19"/>
  <c r="O182" i="19"/>
  <c r="L119" i="19" l="1"/>
  <c r="H121" i="19"/>
  <c r="H120" i="19"/>
  <c r="L118" i="19"/>
  <c r="S128" i="19"/>
  <c r="S127" i="19"/>
  <c r="Z30" i="3"/>
  <c r="O183" i="19"/>
  <c r="O185" i="19"/>
  <c r="L120" i="19" l="1"/>
  <c r="H122" i="19"/>
  <c r="H123" i="19"/>
  <c r="L121" i="19"/>
  <c r="S130" i="19"/>
  <c r="S129" i="19"/>
  <c r="Z31" i="3"/>
  <c r="O184" i="19"/>
  <c r="O186" i="19"/>
  <c r="L123" i="19" l="1"/>
  <c r="H125" i="19"/>
  <c r="H124" i="19"/>
  <c r="L122" i="19"/>
  <c r="S132" i="19"/>
  <c r="S131" i="19"/>
  <c r="Z32" i="3"/>
  <c r="O187" i="19"/>
  <c r="O189" i="19"/>
  <c r="H126" i="19" l="1"/>
  <c r="L124" i="19"/>
  <c r="L125" i="19"/>
  <c r="H127" i="19"/>
  <c r="S134" i="19"/>
  <c r="S133" i="19"/>
  <c r="Z33" i="3"/>
  <c r="O188" i="19"/>
  <c r="O190" i="19"/>
  <c r="L127" i="19" l="1"/>
  <c r="H129" i="19"/>
  <c r="H128" i="19"/>
  <c r="L126" i="19"/>
  <c r="S136" i="19"/>
  <c r="S135" i="19"/>
  <c r="Z34" i="3"/>
  <c r="O191" i="19"/>
  <c r="O192" i="19"/>
  <c r="H130" i="19" l="1"/>
  <c r="L128" i="19"/>
  <c r="H131" i="19"/>
  <c r="L129" i="19"/>
  <c r="S138" i="19"/>
  <c r="S137" i="19"/>
  <c r="Z35" i="3"/>
  <c r="O193" i="19"/>
  <c r="O194" i="19"/>
  <c r="L131" i="19" l="1"/>
  <c r="H133" i="19"/>
  <c r="L130" i="19"/>
  <c r="H132" i="19"/>
  <c r="S140" i="19"/>
  <c r="S139" i="19"/>
  <c r="Z36" i="3"/>
  <c r="O195" i="19"/>
  <c r="O197" i="19"/>
  <c r="H134" i="19" l="1"/>
  <c r="L132" i="19"/>
  <c r="H135" i="19"/>
  <c r="L133" i="19"/>
  <c r="S142" i="19"/>
  <c r="S141" i="19"/>
  <c r="Z37" i="3"/>
  <c r="O196" i="19"/>
  <c r="H137" i="19" l="1"/>
  <c r="L135" i="19"/>
  <c r="L134" i="19"/>
  <c r="H136" i="19"/>
  <c r="S144" i="19"/>
  <c r="S143" i="19"/>
  <c r="O198" i="19"/>
  <c r="Z38" i="3"/>
  <c r="O199" i="19"/>
  <c r="H138" i="19" l="1"/>
  <c r="L136" i="19"/>
  <c r="L137" i="19"/>
  <c r="H139" i="19"/>
  <c r="S146" i="19"/>
  <c r="S145" i="19"/>
  <c r="Z39" i="3"/>
  <c r="L139" i="19" l="1"/>
  <c r="H141" i="19"/>
  <c r="H140" i="19"/>
  <c r="L138" i="19"/>
  <c r="S148" i="19"/>
  <c r="S147" i="19"/>
  <c r="Z40" i="3"/>
  <c r="L140" i="19" l="1"/>
  <c r="H142" i="19"/>
  <c r="L141" i="19"/>
  <c r="H143" i="19"/>
  <c r="S150" i="19"/>
  <c r="S149" i="19"/>
  <c r="Z41" i="3"/>
  <c r="H145" i="19" l="1"/>
  <c r="L143" i="19"/>
  <c r="H144" i="19"/>
  <c r="L142" i="19"/>
  <c r="S152" i="19"/>
  <c r="S151" i="19"/>
  <c r="Z42" i="3"/>
  <c r="L144" i="19" l="1"/>
  <c r="H146" i="19"/>
  <c r="H147" i="19"/>
  <c r="L145" i="19"/>
  <c r="S154" i="19"/>
  <c r="S153" i="19"/>
  <c r="Z43" i="3"/>
  <c r="L147" i="19" l="1"/>
  <c r="H149" i="19"/>
  <c r="H148" i="19"/>
  <c r="L146" i="19"/>
  <c r="S156" i="19"/>
  <c r="S155" i="19"/>
  <c r="Z44" i="3"/>
  <c r="H150" i="19" l="1"/>
  <c r="L148" i="19"/>
  <c r="L149" i="19"/>
  <c r="H151" i="19"/>
  <c r="S158" i="19"/>
  <c r="S157" i="19"/>
  <c r="Z45" i="3"/>
  <c r="L151" i="19" l="1"/>
  <c r="H153" i="19"/>
  <c r="L150" i="19"/>
  <c r="H152" i="19"/>
  <c r="S160" i="19"/>
  <c r="S159" i="19"/>
  <c r="Z46" i="3"/>
  <c r="H155" i="19" l="1"/>
  <c r="L153" i="19"/>
  <c r="H154" i="19"/>
  <c r="L152" i="19"/>
  <c r="S162" i="19"/>
  <c r="S161" i="19"/>
  <c r="Z47" i="3"/>
  <c r="H156" i="19" l="1"/>
  <c r="L154" i="19"/>
  <c r="H157" i="19"/>
  <c r="L155" i="19"/>
  <c r="S164" i="19"/>
  <c r="S163" i="19"/>
  <c r="Z48" i="3"/>
  <c r="H159" i="19" l="1"/>
  <c r="L157" i="19"/>
  <c r="L156" i="19"/>
  <c r="H158" i="19"/>
  <c r="S166" i="19"/>
  <c r="S165" i="19"/>
  <c r="Z49" i="3"/>
  <c r="L158" i="19" l="1"/>
  <c r="H160" i="19"/>
  <c r="L159" i="19"/>
  <c r="H161" i="19"/>
  <c r="S168" i="19"/>
  <c r="S167" i="19"/>
  <c r="Z50" i="3"/>
  <c r="H162" i="19" l="1"/>
  <c r="L160" i="19"/>
  <c r="H163" i="19"/>
  <c r="L161" i="19"/>
  <c r="S170" i="19"/>
  <c r="S169" i="19"/>
  <c r="Z51" i="3"/>
  <c r="L163" i="19" l="1"/>
  <c r="H165" i="19"/>
  <c r="H164" i="19"/>
  <c r="L162" i="19"/>
  <c r="S172" i="19"/>
  <c r="S171" i="19"/>
  <c r="Z52" i="3"/>
  <c r="L165" i="19" l="1"/>
  <c r="H167" i="19"/>
  <c r="H166" i="19"/>
  <c r="L164" i="19"/>
  <c r="S174" i="19"/>
  <c r="S173" i="19"/>
  <c r="Z53" i="3"/>
  <c r="H169" i="19" l="1"/>
  <c r="L167" i="19"/>
  <c r="L166" i="19"/>
  <c r="H168" i="19"/>
  <c r="S176" i="19"/>
  <c r="S175" i="19"/>
  <c r="Z54" i="3"/>
  <c r="H170" i="19" l="1"/>
  <c r="L168" i="19"/>
  <c r="L169" i="19"/>
  <c r="H171" i="19"/>
  <c r="S178" i="19"/>
  <c r="S177" i="19"/>
  <c r="Z55" i="3"/>
  <c r="H173" i="19" l="1"/>
  <c r="L171" i="19"/>
  <c r="L170" i="19"/>
  <c r="H172" i="19"/>
  <c r="S180" i="19"/>
  <c r="S179" i="19"/>
  <c r="Z56" i="3"/>
  <c r="H174" i="19" l="1"/>
  <c r="L172" i="19"/>
  <c r="H175" i="19"/>
  <c r="L173" i="19"/>
  <c r="S182" i="19"/>
  <c r="S181" i="19"/>
  <c r="Z57" i="3"/>
  <c r="L175" i="19" l="1"/>
  <c r="H177" i="19"/>
  <c r="H176" i="19"/>
  <c r="L174" i="19"/>
  <c r="S184" i="19"/>
  <c r="S183" i="19"/>
  <c r="Z58" i="3"/>
  <c r="L176" i="19" l="1"/>
  <c r="H178" i="19"/>
  <c r="H179" i="19"/>
  <c r="L177" i="19"/>
  <c r="S186" i="19"/>
  <c r="S185" i="19"/>
  <c r="Z59" i="3"/>
  <c r="L179" i="19" l="1"/>
  <c r="H181" i="19"/>
  <c r="H180" i="19"/>
  <c r="L178" i="19"/>
  <c r="S188" i="19"/>
  <c r="S187" i="19"/>
  <c r="Z60" i="3"/>
  <c r="H182" i="19" l="1"/>
  <c r="L180" i="19"/>
  <c r="L181" i="19"/>
  <c r="H183" i="19"/>
  <c r="S190" i="19"/>
  <c r="S189" i="19"/>
  <c r="Z61" i="3"/>
  <c r="L183" i="19" l="1"/>
  <c r="H185" i="19"/>
  <c r="H184" i="19"/>
  <c r="L182" i="19"/>
  <c r="S192" i="19"/>
  <c r="S191" i="19"/>
  <c r="Z62" i="3"/>
  <c r="L185" i="19" l="1"/>
  <c r="H187" i="19"/>
  <c r="H186" i="19"/>
  <c r="L184" i="19"/>
  <c r="S194" i="19"/>
  <c r="S193" i="19"/>
  <c r="Z63" i="3"/>
  <c r="L186" i="19" l="1"/>
  <c r="H188" i="19"/>
  <c r="H189" i="19"/>
  <c r="L187" i="19"/>
  <c r="S196" i="19"/>
  <c r="S195" i="19"/>
  <c r="Z64" i="3"/>
  <c r="H190" i="19" l="1"/>
  <c r="L188" i="19"/>
  <c r="H191" i="19"/>
  <c r="L189" i="19"/>
  <c r="S198" i="19"/>
  <c r="S197" i="19"/>
  <c r="S199" i="19"/>
  <c r="Z46" i="19" s="1"/>
  <c r="Z47" i="19" s="1"/>
  <c r="Z48" i="19" s="1"/>
  <c r="Z49" i="19" s="1"/>
  <c r="Z50" i="19" s="1"/>
  <c r="Z51" i="19" s="1"/>
  <c r="Z52" i="19" s="1"/>
  <c r="Z53" i="19" s="1"/>
  <c r="Z54" i="19" s="1"/>
  <c r="Z55" i="19" s="1"/>
  <c r="Z56" i="19" s="1"/>
  <c r="Z57" i="19" s="1"/>
  <c r="Z58" i="19" s="1"/>
  <c r="Z59" i="19" s="1"/>
  <c r="Z60" i="19" s="1"/>
  <c r="Z61" i="19" s="1"/>
  <c r="Z62" i="19" s="1"/>
  <c r="Z63" i="19" s="1"/>
  <c r="Z64" i="19" s="1"/>
  <c r="Z65" i="19" s="1"/>
  <c r="Z66" i="19" s="1"/>
  <c r="Z67" i="19" s="1"/>
  <c r="Z68" i="19" s="1"/>
  <c r="Z69" i="19" s="1"/>
  <c r="Z70" i="19" s="1"/>
  <c r="Z71" i="19" s="1"/>
  <c r="Z72" i="19" s="1"/>
  <c r="Z73" i="19" s="1"/>
  <c r="Z74" i="19" s="1"/>
  <c r="Z75" i="19" s="1"/>
  <c r="Z76" i="19" s="1"/>
  <c r="Z77" i="19" s="1"/>
  <c r="Z78" i="19" s="1"/>
  <c r="Z79" i="19" s="1"/>
  <c r="Z80" i="19" s="1"/>
  <c r="Z81" i="19" s="1"/>
  <c r="Z82" i="19" s="1"/>
  <c r="Z83" i="19" s="1"/>
  <c r="Z84" i="19" s="1"/>
  <c r="Z85" i="19" s="1"/>
  <c r="Z86" i="19" s="1"/>
  <c r="Z87" i="19" s="1"/>
  <c r="Z88" i="19" s="1"/>
  <c r="Z89" i="19" s="1"/>
  <c r="Z90" i="19" s="1"/>
  <c r="Z91" i="19" s="1"/>
  <c r="Z92" i="19" s="1"/>
  <c r="Z93" i="19" s="1"/>
  <c r="Z94" i="19" s="1"/>
  <c r="Z95" i="19" s="1"/>
  <c r="Z96" i="19" s="1"/>
  <c r="Z97" i="19" s="1"/>
  <c r="Z98" i="19" s="1"/>
  <c r="Z99" i="19" s="1"/>
  <c r="Z100" i="19" s="1"/>
  <c r="Z101" i="19" s="1"/>
  <c r="Z102" i="19" s="1"/>
  <c r="Z103" i="19" s="1"/>
  <c r="Z104" i="19" s="1"/>
  <c r="Z105" i="19" s="1"/>
  <c r="Z106" i="19" s="1"/>
  <c r="Z107" i="19" s="1"/>
  <c r="Z108" i="19" s="1"/>
  <c r="Z109" i="19" s="1"/>
  <c r="Z110" i="19" s="1"/>
  <c r="Z111" i="19" s="1"/>
  <c r="Z112" i="19" s="1"/>
  <c r="Z113" i="19" s="1"/>
  <c r="Z114" i="19" s="1"/>
  <c r="Z115" i="19" s="1"/>
  <c r="Z116" i="19" s="1"/>
  <c r="Z117" i="19" s="1"/>
  <c r="Z118" i="19" s="1"/>
  <c r="Z119" i="19" s="1"/>
  <c r="Z120" i="19" s="1"/>
  <c r="Z121" i="19" s="1"/>
  <c r="Z122" i="19" s="1"/>
  <c r="Z123" i="19" s="1"/>
  <c r="Z124" i="19" s="1"/>
  <c r="Z125" i="19" s="1"/>
  <c r="Z126" i="19" s="1"/>
  <c r="Z127" i="19" s="1"/>
  <c r="Z128" i="19" s="1"/>
  <c r="Z129" i="19" s="1"/>
  <c r="Z130" i="19" s="1"/>
  <c r="Z131" i="19" s="1"/>
  <c r="Z132" i="19" s="1"/>
  <c r="Z133" i="19" s="1"/>
  <c r="Z134" i="19" s="1"/>
  <c r="Z135" i="19" s="1"/>
  <c r="Z136" i="19" s="1"/>
  <c r="Z137" i="19" s="1"/>
  <c r="Z138" i="19" s="1"/>
  <c r="Z139" i="19" s="1"/>
  <c r="Z140" i="19" s="1"/>
  <c r="Z141" i="19" s="1"/>
  <c r="Z142" i="19" s="1"/>
  <c r="Z143" i="19" s="1"/>
  <c r="Z144" i="19" s="1"/>
  <c r="Z145" i="19" s="1"/>
  <c r="Z146" i="19" s="1"/>
  <c r="Z147" i="19" s="1"/>
  <c r="Z148" i="19" s="1"/>
  <c r="Z149" i="19" s="1"/>
  <c r="Z150" i="19" s="1"/>
  <c r="Z151" i="19" s="1"/>
  <c r="Z152" i="19" s="1"/>
  <c r="Z153" i="19" s="1"/>
  <c r="Z154" i="19" s="1"/>
  <c r="Z155" i="19" s="1"/>
  <c r="Z156" i="19" s="1"/>
  <c r="Z157" i="19" s="1"/>
  <c r="Z158" i="19" s="1"/>
  <c r="Z159" i="19" s="1"/>
  <c r="Z160" i="19" s="1"/>
  <c r="Z161" i="19" s="1"/>
  <c r="Z162" i="19" s="1"/>
  <c r="Z163" i="19" s="1"/>
  <c r="Z164" i="19" s="1"/>
  <c r="Z165" i="19" s="1"/>
  <c r="Z166" i="19" s="1"/>
  <c r="Z167" i="19" s="1"/>
  <c r="Z168" i="19" s="1"/>
  <c r="Z169" i="19" s="1"/>
  <c r="Z170" i="19" s="1"/>
  <c r="Z171" i="19" s="1"/>
  <c r="Z172" i="19" s="1"/>
  <c r="Z173" i="19" s="1"/>
  <c r="Z174" i="19" s="1"/>
  <c r="Z175" i="19" s="1"/>
  <c r="Z176" i="19" s="1"/>
  <c r="Z177" i="19" s="1"/>
  <c r="Z178" i="19" s="1"/>
  <c r="Z179" i="19" s="1"/>
  <c r="Z180" i="19" s="1"/>
  <c r="Z181" i="19" s="1"/>
  <c r="Z182" i="19" s="1"/>
  <c r="Z183" i="19" s="1"/>
  <c r="Z184" i="19" s="1"/>
  <c r="Z185" i="19" s="1"/>
  <c r="Z186" i="19" s="1"/>
  <c r="Z187" i="19" s="1"/>
  <c r="Z188" i="19" s="1"/>
  <c r="Z189" i="19" s="1"/>
  <c r="Z190" i="19" s="1"/>
  <c r="Z191" i="19" s="1"/>
  <c r="Z192" i="19" s="1"/>
  <c r="Z193" i="19" s="1"/>
  <c r="Z194" i="19" s="1"/>
  <c r="Z195" i="19" s="1"/>
  <c r="Z196" i="19" s="1"/>
  <c r="Z197" i="19" s="1"/>
  <c r="Z198" i="19" s="1"/>
  <c r="Z199" i="19" s="1"/>
  <c r="Z200" i="19" s="1"/>
  <c r="Z65" i="3"/>
  <c r="L191" i="19" l="1"/>
  <c r="H193" i="19"/>
  <c r="L190" i="19"/>
  <c r="H192" i="19"/>
  <c r="Z201" i="19"/>
  <c r="AA200" i="19"/>
  <c r="AA18" i="19"/>
  <c r="Z66" i="3"/>
  <c r="H195" i="19" l="1"/>
  <c r="L193" i="19"/>
  <c r="L192" i="19"/>
  <c r="H194" i="19"/>
  <c r="AA201" i="19"/>
  <c r="Z202" i="19"/>
  <c r="AA19" i="19"/>
  <c r="Z67" i="3"/>
  <c r="L194" i="19" l="1"/>
  <c r="H196" i="19"/>
  <c r="L195" i="19"/>
  <c r="H197" i="19"/>
  <c r="Z203" i="19"/>
  <c r="AA202" i="19"/>
  <c r="AA20" i="19"/>
  <c r="Z68" i="3"/>
  <c r="H199" i="19" l="1"/>
  <c r="L197" i="19"/>
  <c r="H198" i="19"/>
  <c r="L196" i="19"/>
  <c r="AA203" i="19"/>
  <c r="Z204" i="19"/>
  <c r="AA21" i="19"/>
  <c r="Z69" i="3"/>
  <c r="H200" i="19" l="1"/>
  <c r="L198" i="19"/>
  <c r="H201" i="19"/>
  <c r="L199" i="19"/>
  <c r="Z205" i="19"/>
  <c r="AA204" i="19"/>
  <c r="AA22" i="19"/>
  <c r="Z70" i="3"/>
  <c r="AK20" i="19" l="1" a="1"/>
  <c r="AK20" i="19" s="1"/>
  <c r="AK22" i="19" s="1"/>
  <c r="AK19" i="19"/>
  <c r="AK40" i="19"/>
  <c r="AK41" i="19" s="1"/>
  <c r="AK42" i="19" s="1"/>
  <c r="AK31" i="19"/>
  <c r="AK32" i="19" s="1"/>
  <c r="AK33" i="19" s="1"/>
  <c r="AI26" i="19" s="1"/>
  <c r="L201" i="19"/>
  <c r="H203" i="19"/>
  <c r="H202" i="19"/>
  <c r="L200" i="19"/>
  <c r="Z206" i="19"/>
  <c r="AA205" i="19"/>
  <c r="AA23" i="19"/>
  <c r="Z71" i="3"/>
  <c r="AI33" i="19" l="1"/>
  <c r="AI25" i="19"/>
  <c r="AB27" i="19" s="1"/>
  <c r="AB28" i="19"/>
  <c r="AK21" i="19"/>
  <c r="AK23" i="19" s="1"/>
  <c r="AK24" i="19" s="1"/>
  <c r="AI20" i="19" s="1"/>
  <c r="H204" i="19"/>
  <c r="L202" i="19"/>
  <c r="H205" i="19"/>
  <c r="L203" i="19"/>
  <c r="AA206" i="19"/>
  <c r="Z207" i="19"/>
  <c r="AA24" i="19"/>
  <c r="Z72" i="3"/>
  <c r="AK43" i="19" l="1"/>
  <c r="AL44" i="19"/>
  <c r="AL45" i="19" a="1"/>
  <c r="AL45" i="19" s="1"/>
  <c r="AL47" i="19" s="1"/>
  <c r="AB25" i="19"/>
  <c r="AI19" i="19"/>
  <c r="AB24" i="19" s="1"/>
  <c r="AI22" i="19"/>
  <c r="AB26" i="19" s="1"/>
  <c r="AL43" i="19"/>
  <c r="AK45" i="19"/>
  <c r="AK47" i="19" s="1"/>
  <c r="AK44" i="19"/>
  <c r="AK46" i="19" s="1"/>
  <c r="H207" i="19"/>
  <c r="L205" i="19"/>
  <c r="H206" i="19"/>
  <c r="L204" i="19"/>
  <c r="AA207" i="19"/>
  <c r="Z208" i="19"/>
  <c r="AA25" i="19"/>
  <c r="Z73" i="3"/>
  <c r="AK48" i="19" l="1"/>
  <c r="AK49" i="19" s="1"/>
  <c r="AL46" i="19"/>
  <c r="H208" i="19"/>
  <c r="L206" i="19"/>
  <c r="H209" i="19"/>
  <c r="L207" i="19"/>
  <c r="AA208" i="19"/>
  <c r="Z209" i="19"/>
  <c r="AA26" i="19"/>
  <c r="Z74" i="3"/>
  <c r="AL48" i="19" l="1"/>
  <c r="AL49" i="19" s="1"/>
  <c r="AI34" i="19" s="1"/>
  <c r="AB29" i="19" s="1"/>
  <c r="H211" i="19"/>
  <c r="L209" i="19"/>
  <c r="H210" i="19"/>
  <c r="L208" i="19"/>
  <c r="Z210" i="19"/>
  <c r="AA209" i="19"/>
  <c r="AA27" i="19"/>
  <c r="Z75" i="3"/>
  <c r="H212" i="19" l="1"/>
  <c r="L210" i="19"/>
  <c r="H213" i="19"/>
  <c r="L211" i="19"/>
  <c r="Z211" i="19"/>
  <c r="AA210" i="19"/>
  <c r="AA28" i="19"/>
  <c r="Z76" i="3"/>
  <c r="H215" i="19" l="1"/>
  <c r="L213" i="19"/>
  <c r="H214" i="19"/>
  <c r="L212" i="19"/>
  <c r="AA211" i="19"/>
  <c r="Z212" i="19"/>
  <c r="AA29" i="19"/>
  <c r="Z77" i="3"/>
  <c r="H216" i="19" l="1"/>
  <c r="L214" i="19"/>
  <c r="H217" i="19"/>
  <c r="L215" i="19"/>
  <c r="AA212" i="19"/>
  <c r="Z213" i="19"/>
  <c r="AA30" i="19"/>
  <c r="Z78" i="3"/>
  <c r="H219" i="19" l="1"/>
  <c r="L217" i="19"/>
  <c r="H218" i="19"/>
  <c r="L216" i="19"/>
  <c r="AA213" i="19"/>
  <c r="Z214" i="19"/>
  <c r="AA31" i="19"/>
  <c r="Z79" i="3"/>
  <c r="H220" i="19" l="1"/>
  <c r="L218" i="19"/>
  <c r="H221" i="19"/>
  <c r="L219" i="19"/>
  <c r="Z215" i="19"/>
  <c r="AA214" i="19"/>
  <c r="AA32" i="19"/>
  <c r="Z80" i="3"/>
  <c r="H223" i="19" l="1"/>
  <c r="L221" i="19"/>
  <c r="H222" i="19"/>
  <c r="L220" i="19"/>
  <c r="Z216" i="19"/>
  <c r="AA215" i="19"/>
  <c r="AA33" i="19"/>
  <c r="Z81" i="3"/>
  <c r="H224" i="19" l="1"/>
  <c r="L222" i="19"/>
  <c r="H225" i="19"/>
  <c r="L223" i="19"/>
  <c r="AA216" i="19"/>
  <c r="Z217" i="19"/>
  <c r="AA34" i="19"/>
  <c r="Z82" i="3"/>
  <c r="H227" i="19" l="1"/>
  <c r="L227" i="19" s="1"/>
  <c r="L225" i="19"/>
  <c r="H226" i="19"/>
  <c r="L226" i="19" s="1"/>
  <c r="L224" i="19"/>
  <c r="AA217" i="19"/>
  <c r="Z218" i="19"/>
  <c r="AA35" i="19"/>
  <c r="Z83" i="3"/>
  <c r="AA218" i="19" l="1"/>
  <c r="Z219" i="19"/>
  <c r="AA36" i="19"/>
  <c r="Z84" i="3"/>
  <c r="Z220" i="19" l="1"/>
  <c r="AA219" i="19"/>
  <c r="AA37" i="19"/>
  <c r="Z85" i="3"/>
  <c r="Z221" i="19" l="1"/>
  <c r="AA220" i="19"/>
  <c r="AA38" i="19"/>
  <c r="Z86" i="3"/>
  <c r="AA221" i="19" l="1"/>
  <c r="Z222" i="19"/>
  <c r="AA39" i="19"/>
  <c r="Z87" i="3"/>
  <c r="AA222" i="19" l="1"/>
  <c r="Z223" i="19"/>
  <c r="AA40" i="19"/>
  <c r="Z88" i="3"/>
  <c r="AA223" i="19" l="1"/>
  <c r="Z224" i="19"/>
  <c r="AA41" i="19"/>
  <c r="Z89" i="3"/>
  <c r="Z225" i="19" l="1"/>
  <c r="AA224" i="19"/>
  <c r="AA42" i="19"/>
  <c r="Z90" i="3"/>
  <c r="Z226" i="19" l="1"/>
  <c r="AA225" i="19"/>
  <c r="AA43" i="19"/>
  <c r="Z91" i="3"/>
  <c r="AA226" i="19" l="1"/>
  <c r="Z227" i="19"/>
  <c r="AA227" i="19" s="1"/>
  <c r="AA44" i="19"/>
  <c r="Z92" i="3"/>
  <c r="AA45" i="19" l="1"/>
  <c r="Z93" i="3"/>
  <c r="AA46" i="19" l="1"/>
  <c r="Z94" i="3"/>
  <c r="AA47" i="19" l="1"/>
  <c r="Z95" i="3"/>
  <c r="AA48" i="19" l="1"/>
  <c r="Z96" i="3"/>
  <c r="AA49" i="19" l="1"/>
  <c r="Z97" i="3"/>
  <c r="AA50" i="19" l="1"/>
  <c r="Z98" i="3"/>
  <c r="AA51" i="19" l="1"/>
  <c r="Z99" i="3"/>
  <c r="AA52" i="19" l="1"/>
  <c r="Z100" i="3"/>
  <c r="AA53" i="19" l="1"/>
  <c r="Z101" i="3"/>
  <c r="AA54" i="19" l="1"/>
  <c r="Z102" i="3"/>
  <c r="AA55" i="19" l="1"/>
  <c r="Z103" i="3"/>
  <c r="AA56" i="19" l="1"/>
  <c r="Z104" i="3"/>
  <c r="AA57" i="19" l="1"/>
  <c r="Z105" i="3"/>
  <c r="AA58" i="19" l="1"/>
  <c r="Z106" i="3"/>
  <c r="AA59" i="19" l="1"/>
  <c r="Z107" i="3"/>
  <c r="AA60" i="19" l="1"/>
  <c r="Z108" i="3"/>
  <c r="AA61" i="19" l="1"/>
  <c r="Z109" i="3"/>
  <c r="AA62" i="19" l="1"/>
  <c r="Z110" i="3"/>
  <c r="AA63" i="19" l="1"/>
  <c r="Z111" i="3"/>
  <c r="AA64" i="19" l="1"/>
  <c r="Z112" i="3"/>
  <c r="AA65" i="19" l="1"/>
  <c r="Z113" i="3"/>
  <c r="AA66" i="19" l="1"/>
  <c r="Z114" i="3"/>
  <c r="AA67" i="19" l="1"/>
  <c r="Z115" i="3"/>
  <c r="AA68" i="19" l="1"/>
  <c r="Z116" i="3"/>
  <c r="AA69" i="19" l="1"/>
  <c r="Z117" i="3"/>
  <c r="AA70" i="19" l="1"/>
  <c r="Z118" i="3"/>
  <c r="AA71" i="19" l="1"/>
  <c r="Z119" i="3"/>
  <c r="AA72" i="19" l="1"/>
  <c r="Z120" i="3"/>
  <c r="AA73" i="19" l="1"/>
  <c r="Z121" i="3"/>
  <c r="AA74" i="19" l="1"/>
  <c r="Z122" i="3"/>
  <c r="AA75" i="19" l="1"/>
  <c r="Z123" i="3"/>
  <c r="AA76" i="19" l="1"/>
  <c r="Z124" i="3"/>
  <c r="AA77" i="19" l="1"/>
  <c r="Z125" i="3"/>
  <c r="AA78" i="19" l="1"/>
  <c r="Z126" i="3"/>
  <c r="AA79" i="19" l="1"/>
  <c r="Z127" i="3"/>
  <c r="AA80" i="19" l="1"/>
  <c r="Z128" i="3"/>
  <c r="AA81" i="19" l="1"/>
  <c r="Z129" i="3"/>
  <c r="AA82" i="19" l="1"/>
  <c r="Z130" i="3"/>
  <c r="AA83" i="19" l="1"/>
  <c r="Z131" i="3"/>
  <c r="AA84" i="19" l="1"/>
  <c r="Z132" i="3"/>
  <c r="AA85" i="19" l="1"/>
  <c r="Z133" i="3"/>
  <c r="AA86" i="19" l="1"/>
  <c r="Z134" i="3"/>
  <c r="AA87" i="19" l="1"/>
  <c r="Z135" i="3"/>
  <c r="AA88" i="19" l="1"/>
  <c r="Z136" i="3"/>
  <c r="AA89" i="19" l="1"/>
  <c r="Z137" i="3"/>
  <c r="AA90" i="19" l="1"/>
  <c r="Z138" i="3"/>
  <c r="AA91" i="19" l="1"/>
  <c r="Z139" i="3"/>
  <c r="AA92" i="19" l="1"/>
  <c r="Z140" i="3"/>
  <c r="AA93" i="19" l="1"/>
  <c r="Z141" i="3"/>
  <c r="AA94" i="19" l="1"/>
  <c r="Z142" i="3"/>
  <c r="AA95" i="19" l="1"/>
  <c r="Z143" i="3"/>
  <c r="AA96" i="19" l="1"/>
  <c r="Z144" i="3"/>
  <c r="AA97" i="19" l="1"/>
  <c r="Z145" i="3"/>
  <c r="AA98" i="19" l="1"/>
  <c r="Z146" i="3"/>
  <c r="AA99" i="19" l="1"/>
  <c r="Z147" i="3"/>
  <c r="AA100" i="19" l="1"/>
  <c r="Z148" i="3"/>
  <c r="AA101" i="19" l="1"/>
  <c r="Z149" i="3"/>
  <c r="AA102" i="19" l="1"/>
  <c r="Z150" i="3"/>
  <c r="AA103" i="19" l="1"/>
  <c r="Z151" i="3"/>
  <c r="AA104" i="19" l="1"/>
  <c r="Z152" i="3"/>
  <c r="AA105" i="19" l="1"/>
  <c r="Z153" i="3"/>
  <c r="AA106" i="19" l="1"/>
  <c r="Z154" i="3"/>
  <c r="AA107" i="19" l="1"/>
  <c r="Z155" i="3"/>
  <c r="AA108" i="19" l="1"/>
  <c r="Z156" i="3"/>
  <c r="AA109" i="19" l="1"/>
  <c r="Z157" i="3"/>
  <c r="AA110" i="19" l="1"/>
  <c r="Z158" i="3"/>
  <c r="AA111" i="19" l="1"/>
  <c r="Z159" i="3"/>
  <c r="AA112" i="19" l="1"/>
  <c r="Z160" i="3"/>
  <c r="AA113" i="19" l="1"/>
  <c r="Z161" i="3"/>
  <c r="AA114" i="19" l="1"/>
  <c r="Z162" i="3"/>
  <c r="AA115" i="19" l="1"/>
  <c r="Z163" i="3"/>
  <c r="AA116" i="19" l="1"/>
  <c r="Z164" i="3"/>
  <c r="AA117" i="19" l="1"/>
  <c r="Z165" i="3"/>
  <c r="AA118" i="19" l="1"/>
  <c r="Z166" i="3"/>
  <c r="AA119" i="19" l="1"/>
  <c r="Z167" i="3"/>
  <c r="AA120" i="19" l="1"/>
  <c r="Z168" i="3"/>
  <c r="AA121" i="19" l="1"/>
  <c r="Z169" i="3"/>
  <c r="AA122" i="19" l="1"/>
  <c r="Z170" i="3"/>
  <c r="AA123" i="19" l="1"/>
  <c r="Z171" i="3"/>
  <c r="AA124" i="19" l="1"/>
  <c r="Z172" i="3"/>
  <c r="AA125" i="19" l="1"/>
  <c r="Z173" i="3"/>
  <c r="AA126" i="19" l="1"/>
  <c r="Z174" i="3"/>
  <c r="AA127" i="19" l="1"/>
  <c r="Z175" i="3"/>
  <c r="AA128" i="19" l="1"/>
  <c r="Z176" i="3"/>
  <c r="AA129" i="19" l="1"/>
  <c r="Z177" i="3"/>
  <c r="AA130" i="19" l="1"/>
  <c r="Z178" i="3"/>
  <c r="AA131" i="19" l="1"/>
  <c r="Z179" i="3"/>
  <c r="AA132" i="19" l="1"/>
  <c r="Z180" i="3"/>
  <c r="AA133" i="19" l="1"/>
  <c r="Z181" i="3"/>
  <c r="AA134" i="19" l="1"/>
  <c r="Z182" i="3"/>
  <c r="AA135" i="19" l="1"/>
  <c r="Z183" i="3"/>
  <c r="AA136" i="19" l="1"/>
  <c r="Z184" i="3"/>
  <c r="AA137" i="19" l="1"/>
  <c r="Z185" i="3"/>
  <c r="AA138" i="19" l="1"/>
  <c r="Z186" i="3"/>
  <c r="AA139" i="19" l="1"/>
  <c r="Z187" i="3"/>
  <c r="AA140" i="19" l="1"/>
  <c r="Z188" i="3"/>
  <c r="AA141" i="19" l="1"/>
  <c r="Z189" i="3"/>
  <c r="AA142" i="19" l="1"/>
  <c r="Z190" i="3"/>
  <c r="AA143" i="19" l="1"/>
  <c r="Z191" i="3"/>
  <c r="AA144" i="19" l="1"/>
  <c r="Z192" i="3"/>
  <c r="AA145" i="19" l="1"/>
  <c r="Z193" i="3"/>
  <c r="AA146" i="19" l="1"/>
  <c r="Z194" i="3"/>
  <c r="AA147" i="19" l="1"/>
  <c r="Z195" i="3"/>
  <c r="AA148" i="19" l="1"/>
  <c r="Z196" i="3"/>
  <c r="AA149" i="19" l="1"/>
  <c r="Z197" i="3"/>
  <c r="AA150" i="19" l="1"/>
  <c r="Z198" i="3"/>
  <c r="AA151" i="19" l="1"/>
  <c r="Z199" i="3"/>
  <c r="AA152" i="19" l="1"/>
  <c r="AA153" i="19" l="1"/>
  <c r="AA154" i="19" l="1"/>
  <c r="AA155" i="19" l="1"/>
  <c r="AA156" i="19" l="1"/>
  <c r="AA157" i="19" l="1"/>
  <c r="AA158" i="19" l="1"/>
  <c r="AA159" i="19" l="1"/>
  <c r="AA160" i="19" l="1"/>
  <c r="AA161" i="19" l="1"/>
  <c r="AA162" i="19" l="1"/>
  <c r="AA163" i="19" l="1"/>
  <c r="AA164" i="19" l="1"/>
  <c r="AA165" i="19" l="1"/>
  <c r="AA166" i="19" l="1"/>
  <c r="AA167" i="19" l="1"/>
  <c r="AA168" i="19" l="1"/>
  <c r="AA169" i="19" l="1"/>
  <c r="AA170" i="19" l="1"/>
  <c r="AA171" i="19" l="1"/>
  <c r="AA172" i="19" l="1"/>
  <c r="AA173" i="19" l="1"/>
  <c r="AA174" i="19" l="1"/>
  <c r="AA175" i="19" l="1"/>
  <c r="AA176" i="19" l="1"/>
  <c r="AA177" i="19" l="1"/>
  <c r="AA178" i="19" l="1"/>
  <c r="AA179" i="19" l="1"/>
  <c r="AA180" i="19" l="1"/>
  <c r="AA181" i="19" l="1"/>
  <c r="AA182" i="19" l="1"/>
  <c r="AA183" i="19" l="1"/>
  <c r="AA184" i="19" l="1"/>
  <c r="AA185" i="19" l="1"/>
  <c r="AA186" i="19" l="1"/>
  <c r="AA187" i="19" l="1"/>
  <c r="AA188" i="19" l="1"/>
  <c r="AA189" i="19" l="1"/>
  <c r="AA190" i="19" l="1"/>
  <c r="AA191" i="19" l="1"/>
  <c r="AA192" i="19" l="1"/>
  <c r="AA193" i="19" l="1"/>
  <c r="AA194" i="19" l="1"/>
  <c r="AA195" i="19" l="1"/>
  <c r="AA196" i="19" l="1"/>
  <c r="AA197" i="19" l="1"/>
  <c r="AA198" i="19" l="1"/>
  <c r="AA199"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Christopher Dionne</author>
  </authors>
  <commentList>
    <comment ref="A1" authorId="0" shapeId="0" xr:uid="{6A8180E2-C00A-4929-B559-F3D9357535F3}">
      <text>
        <r>
          <rPr>
            <b/>
            <sz val="9"/>
            <color indexed="81"/>
            <rFont val="Tahoma"/>
            <family val="2"/>
          </rPr>
          <t>Christopher Dionne:</t>
        </r>
        <r>
          <rPr>
            <sz val="9"/>
            <color indexed="81"/>
            <rFont val="Tahoma"/>
            <family val="2"/>
          </rPr>
          <t xml:space="preserve">
The only purpose of these cells is to count how many rows have data and then use that to set print area.</t>
        </r>
      </text>
    </comment>
    <comment ref="X11" authorId="0" shapeId="0" xr:uid="{5F09C5AB-6C3A-4F9A-BA4C-26C212C45E99}">
      <text>
        <r>
          <rPr>
            <sz val="9"/>
            <color indexed="81"/>
            <rFont val="Tahoma"/>
            <family val="2"/>
          </rPr>
          <t>Calculate volume above, below, or between specified elevation(s).</t>
        </r>
      </text>
    </comment>
    <comment ref="X12" authorId="0" shapeId="0" xr:uid="{42D1A263-D0BE-449F-9BFB-2B0A173DFC4B}">
      <text>
        <r>
          <rPr>
            <sz val="9"/>
            <color indexed="81"/>
            <rFont val="Tahoma"/>
            <family val="2"/>
          </rPr>
          <t>Calculate elevation where a target volume is achieved. Used to discount volume below a reference elevation.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Christopher Dionne</author>
  </authors>
  <commentList>
    <comment ref="Y11" authorId="0" shapeId="0" xr:uid="{BB6CFDBE-9C0B-4EF8-AB26-AA0CBE442206}">
      <text>
        <r>
          <rPr>
            <sz val="9"/>
            <color indexed="81"/>
            <rFont val="Tahoma"/>
            <family val="2"/>
          </rPr>
          <t>Calculate volume above, below, or between specified elevation(s).</t>
        </r>
      </text>
    </comment>
    <comment ref="Y12" authorId="0" shapeId="0" xr:uid="{4E87D831-9EBC-46A2-B944-29315AC754BA}">
      <text>
        <r>
          <rPr>
            <sz val="9"/>
            <color indexed="81"/>
            <rFont val="Tahoma"/>
            <family val="2"/>
          </rPr>
          <t>Calculate elevation where a target volume is achieved. Used to discount volume below a reference elevation.</t>
        </r>
      </text>
    </comment>
    <comment ref="AK18" authorId="0" shapeId="0" xr:uid="{93D47512-52D7-4430-B599-5F20B116893F}">
      <text>
        <r>
          <rPr>
            <b/>
            <sz val="9"/>
            <color indexed="81"/>
            <rFont val="Tahoma"/>
            <family val="2"/>
          </rPr>
          <t>Christopher Dionne:</t>
        </r>
        <r>
          <rPr>
            <sz val="9"/>
            <color indexed="81"/>
            <rFont val="Tahoma"/>
            <family val="2"/>
          </rPr>
          <t xml:space="preserve">
If exact elevation found, return volume</t>
        </r>
      </text>
    </comment>
    <comment ref="AK19" authorId="0" shapeId="0" xr:uid="{DD0BF7E6-3B1B-4E45-BBBB-5BD8CF9D4A98}">
      <text>
        <r>
          <rPr>
            <b/>
            <sz val="9"/>
            <color indexed="81"/>
            <rFont val="Tahoma"/>
            <family val="2"/>
          </rPr>
          <t>Christopher Dionne:</t>
        </r>
        <r>
          <rPr>
            <sz val="9"/>
            <color indexed="81"/>
            <rFont val="Tahoma"/>
            <family val="2"/>
          </rPr>
          <t xml:space="preserve">
return volume of elevation directly above target</t>
        </r>
      </text>
    </comment>
    <comment ref="AK20" authorId="0" shapeId="0" xr:uid="{77AEC353-E42E-4821-AEF1-6C2A7EF3C6ED}">
      <text>
        <r>
          <rPr>
            <b/>
            <sz val="9"/>
            <color indexed="81"/>
            <rFont val="Tahoma"/>
            <family val="2"/>
          </rPr>
          <t>Christopher Dionne:</t>
        </r>
        <r>
          <rPr>
            <sz val="9"/>
            <color indexed="81"/>
            <rFont val="Tahoma"/>
            <family val="2"/>
          </rPr>
          <t xml:space="preserve">
return volume directly below target</t>
        </r>
      </text>
    </comment>
    <comment ref="AK21" authorId="0" shapeId="0" xr:uid="{F7BD0319-002A-40A8-BCD7-FE91D166C9B2}">
      <text>
        <r>
          <rPr>
            <b/>
            <sz val="9"/>
            <color indexed="81"/>
            <rFont val="Tahoma"/>
            <family val="2"/>
          </rPr>
          <t>Christopher Dionne:</t>
        </r>
        <r>
          <rPr>
            <sz val="9"/>
            <color indexed="81"/>
            <rFont val="Tahoma"/>
            <family val="2"/>
          </rPr>
          <t xml:space="preserve">
return elvation directly above target</t>
        </r>
      </text>
    </comment>
    <comment ref="AK22" authorId="0" shapeId="0" xr:uid="{5D5830BF-2F1E-4C15-B613-4A87BFF8A9C0}">
      <text>
        <r>
          <rPr>
            <b/>
            <sz val="9"/>
            <color indexed="81"/>
            <rFont val="Tahoma"/>
            <family val="2"/>
          </rPr>
          <t>Christopher Dionne:</t>
        </r>
        <r>
          <rPr>
            <sz val="9"/>
            <color indexed="81"/>
            <rFont val="Tahoma"/>
            <family val="2"/>
          </rPr>
          <t xml:space="preserve">
return elevation directly below target</t>
        </r>
      </text>
    </comment>
    <comment ref="AK23" authorId="0" shapeId="0" xr:uid="{20677EB9-6089-4869-A61A-31499E9B8C9A}">
      <text>
        <r>
          <rPr>
            <b/>
            <sz val="9"/>
            <color indexed="81"/>
            <rFont val="Tahoma"/>
            <family val="2"/>
          </rPr>
          <t>Christopher Dionne:</t>
        </r>
        <r>
          <rPr>
            <sz val="9"/>
            <color indexed="81"/>
            <rFont val="Tahoma"/>
            <family val="2"/>
          </rPr>
          <t xml:space="preserve">
Calculate volume at target. Elevations and volumes are rounded to better reflect values calculated by hand</t>
        </r>
      </text>
    </comment>
    <comment ref="AL23" authorId="0" shapeId="0" xr:uid="{09CABEA8-1BE1-4EBA-A75E-26C3E2E7ABA9}">
      <text>
        <r>
          <rPr>
            <b/>
            <sz val="9"/>
            <color indexed="81"/>
            <rFont val="Tahoma"/>
            <family val="2"/>
          </rPr>
          <t>Christopher Dionne:</t>
        </r>
        <r>
          <rPr>
            <sz val="9"/>
            <color indexed="81"/>
            <rFont val="Tahoma"/>
            <family val="2"/>
          </rPr>
          <t xml:space="preserve">
Calculate volume at target. Elevations and volumes are rounded to better reflect values calculated by hand</t>
        </r>
      </text>
    </comment>
    <comment ref="AK24" authorId="0" shapeId="0" xr:uid="{94BEDCE4-6088-477E-A6C6-7858A0CE5EA3}">
      <text>
        <r>
          <rPr>
            <b/>
            <sz val="9"/>
            <color indexed="81"/>
            <rFont val="Tahoma"/>
            <family val="2"/>
          </rPr>
          <t>Christopher Dionne:</t>
        </r>
        <r>
          <rPr>
            <sz val="9"/>
            <color indexed="81"/>
            <rFont val="Tahoma"/>
            <family val="2"/>
          </rPr>
          <t xml:space="preserve">
Return either exact match, calculated target, or zero</t>
        </r>
      </text>
    </comment>
    <comment ref="AL24" authorId="0" shapeId="0" xr:uid="{3C6D50A6-170E-445C-8786-C6456B095066}">
      <text>
        <r>
          <rPr>
            <b/>
            <sz val="9"/>
            <color indexed="81"/>
            <rFont val="Tahoma"/>
            <family val="2"/>
          </rPr>
          <t>Christopher Dionne:</t>
        </r>
        <r>
          <rPr>
            <sz val="9"/>
            <color indexed="81"/>
            <rFont val="Tahoma"/>
            <family val="2"/>
          </rPr>
          <t xml:space="preserve">
Return either exact match, calculated target, or zero</t>
        </r>
      </text>
    </comment>
    <comment ref="AK32" authorId="0" shapeId="0" xr:uid="{6CB4C0FB-4F99-4137-B2E1-5FBBAF7A4757}">
      <text>
        <r>
          <rPr>
            <b/>
            <sz val="9"/>
            <color indexed="81"/>
            <rFont val="Tahoma"/>
            <family val="2"/>
          </rPr>
          <t>Christopher Dionne:</t>
        </r>
        <r>
          <rPr>
            <sz val="9"/>
            <color indexed="81"/>
            <rFont val="Tahoma"/>
            <family val="2"/>
          </rPr>
          <t xml:space="preserve">
Calculate volume at target. Elevations and volumes are rounded to better reflect values calculated by hand</t>
        </r>
      </text>
    </comment>
    <comment ref="AL32" authorId="0" shapeId="0" xr:uid="{93583FD1-3369-4E16-9163-AA745127F336}">
      <text>
        <r>
          <rPr>
            <b/>
            <sz val="9"/>
            <color indexed="81"/>
            <rFont val="Tahoma"/>
            <family val="2"/>
          </rPr>
          <t>Christopher Dionne:</t>
        </r>
        <r>
          <rPr>
            <sz val="9"/>
            <color indexed="81"/>
            <rFont val="Tahoma"/>
            <family val="2"/>
          </rPr>
          <t xml:space="preserve">
Calculate volume at target. Elevations and volumes are rounded to better reflect values calculated by hand</t>
        </r>
      </text>
    </comment>
    <comment ref="AK41" authorId="0" shapeId="0" xr:uid="{14A6CBAF-E602-40D8-AA5B-7A68E58CC520}">
      <text>
        <r>
          <rPr>
            <b/>
            <sz val="9"/>
            <color indexed="81"/>
            <rFont val="Tahoma"/>
            <family val="2"/>
          </rPr>
          <t>Christopher Dionne:</t>
        </r>
        <r>
          <rPr>
            <sz val="9"/>
            <color indexed="81"/>
            <rFont val="Tahoma"/>
            <family val="2"/>
          </rPr>
          <t xml:space="preserve">
Calculate volume at target. Elevations and volumes are rounded to better reflect values calculated by hand</t>
        </r>
      </text>
    </comment>
    <comment ref="AL41" authorId="0" shapeId="0" xr:uid="{1036022F-290C-4501-96C7-57866BEA20E0}">
      <text>
        <r>
          <rPr>
            <b/>
            <sz val="9"/>
            <color indexed="81"/>
            <rFont val="Tahoma"/>
            <family val="2"/>
          </rPr>
          <t>Christopher Dionne:</t>
        </r>
        <r>
          <rPr>
            <sz val="9"/>
            <color indexed="81"/>
            <rFont val="Tahoma"/>
            <family val="2"/>
          </rPr>
          <t xml:space="preserve">
Calculate volume at target. Elevations and volumes are rounded to better reflect values calculated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Christopher Dionne</author>
  </authors>
  <commentList>
    <comment ref="B2" authorId="0" shapeId="0" xr:uid="{C6293068-19AC-489D-A050-17EA75057B3F}">
      <text>
        <r>
          <rPr>
            <b/>
            <sz val="9"/>
            <color indexed="81"/>
            <rFont val="Tahoma"/>
            <family val="2"/>
          </rPr>
          <t>Christopher Dionne:</t>
        </r>
        <r>
          <rPr>
            <sz val="9"/>
            <color indexed="81"/>
            <rFont val="Tahoma"/>
            <family val="2"/>
          </rPr>
          <t xml:space="preserve">
This is a TRUE/FALSE check to see if the selected chamber is or is not on the list below. (i.e., does the selected chamber model include end cap storage)</t>
        </r>
      </text>
    </comment>
    <comment ref="E2" authorId="0" shapeId="0" xr:uid="{8ACBFF4A-8E98-4C1F-90DE-075734AB8B84}">
      <text>
        <r>
          <rPr>
            <b/>
            <sz val="9"/>
            <color indexed="81"/>
            <rFont val="Tahoma"/>
            <family val="2"/>
          </rPr>
          <t>Christopher Dionne:</t>
        </r>
        <r>
          <rPr>
            <sz val="9"/>
            <color indexed="81"/>
            <rFont val="Tahoma"/>
            <family val="2"/>
          </rPr>
          <t xml:space="preserve">
Each chamber should have a column for the incremental chamber volumes and one for incremental end cap volumes (even if the chamber is not included in the list to left). The end cap columns should be appended with "EC" at the end of the model code for the calculations to be performed correctly.
To add new chambers, simply "insert" two new columns and rename them according to the new model and end cap. Paste incremental data into the column. Note, the top of the chamber is at top of the table and the bottom of the chamber is further down the list (i.e., the largest increments should be further down the table).</t>
        </r>
      </text>
    </comment>
    <comment ref="V2" authorId="0" shapeId="0" xr:uid="{1ED9B9A8-0CF3-4E7D-840E-2B2CD35259F2}">
      <text>
        <r>
          <rPr>
            <b/>
            <sz val="9"/>
            <color indexed="81"/>
            <rFont val="Tahoma"/>
            <family val="2"/>
          </rPr>
          <t>Christopher Dionne:</t>
        </r>
        <r>
          <rPr>
            <sz val="9"/>
            <color indexed="81"/>
            <rFont val="Tahoma"/>
            <family val="2"/>
          </rPr>
          <t xml:space="preserve">
Dimensions of the chambers. To add new models simpy type under the last row.</t>
        </r>
      </text>
    </comment>
    <comment ref="X2" authorId="0" shapeId="0" xr:uid="{EC9A3DD3-3284-49E1-8C9D-73E6A60D3E87}">
      <text>
        <r>
          <rPr>
            <b/>
            <sz val="9"/>
            <color indexed="81"/>
            <rFont val="Tahoma"/>
            <family val="2"/>
          </rPr>
          <t>Christopher Dionne:</t>
        </r>
        <r>
          <rPr>
            <sz val="9"/>
            <color indexed="81"/>
            <rFont val="Tahoma"/>
            <family val="2"/>
          </rPr>
          <t xml:space="preserve">
Width is equal to the width of the chamber PLUS the standard separation between the chamber rows.</t>
        </r>
      </text>
    </comment>
    <comment ref="AA2" authorId="0" shapeId="0" xr:uid="{6AFD1E35-85CF-4DB3-8DC9-473CA393ACFA}">
      <text>
        <r>
          <rPr>
            <b/>
            <sz val="9"/>
            <color indexed="81"/>
            <rFont val="Tahoma"/>
            <family val="2"/>
          </rPr>
          <t>Christopher Dionne:</t>
        </r>
        <r>
          <rPr>
            <sz val="9"/>
            <color indexed="81"/>
            <rFont val="Tahoma"/>
            <family val="2"/>
          </rPr>
          <t xml:space="preserve">
This sections pulls out the data specific to the chamber that is selected.</t>
        </r>
      </text>
    </comment>
    <comment ref="AE2" authorId="0" shapeId="0" xr:uid="{CA09B2DD-E625-4E7B-ABC2-BBA511FF0961}">
      <text>
        <r>
          <rPr>
            <b/>
            <sz val="9"/>
            <color indexed="81"/>
            <rFont val="Tahoma"/>
            <family val="2"/>
          </rPr>
          <t>Christopher Dionne:</t>
        </r>
        <r>
          <rPr>
            <sz val="9"/>
            <color indexed="81"/>
            <rFont val="Tahoma"/>
            <family val="2"/>
          </rPr>
          <t xml:space="preserve">
First increment, as far as I can tell, uses the cover stone depth, increments down an inch at a time, and then checks for when that reaches "0". In the next column, once that "0" value was achieved, it will start at 1inch, which is the top of the chamber or end cap incremental storage, and work down to the base of the chamber/end cap. This is then used to slot in the increment volume into the correct depth in the calc's.</t>
        </r>
      </text>
    </comment>
    <comment ref="B4" authorId="0" shapeId="0" xr:uid="{1BCA6083-8540-45D4-A616-344238ECE270}">
      <text>
        <r>
          <rPr>
            <b/>
            <sz val="9"/>
            <color indexed="81"/>
            <rFont val="Tahoma"/>
            <family val="2"/>
          </rPr>
          <t>Christopher Dionne:</t>
        </r>
        <r>
          <rPr>
            <sz val="9"/>
            <color indexed="81"/>
            <rFont val="Tahoma"/>
            <family val="2"/>
          </rPr>
          <t xml:space="preserve">
Only add chambers to this list if the volume is to include end cap storage in the calculations</t>
        </r>
      </text>
    </comment>
    <comment ref="V16" authorId="0" shapeId="0" xr:uid="{523E7753-1AE6-4E55-991E-9587A0B0F60F}">
      <text>
        <r>
          <rPr>
            <b/>
            <sz val="9"/>
            <color indexed="81"/>
            <rFont val="Tahoma"/>
            <family val="2"/>
          </rPr>
          <t>Christopher Dionne:</t>
        </r>
        <r>
          <rPr>
            <sz val="9"/>
            <color indexed="81"/>
            <rFont val="Tahoma"/>
            <family val="2"/>
          </rPr>
          <t xml:space="preserve">
Dimensions specific to the end caps. For smaller chambers, end cap area is negligible. This whole table can be highlighted and moved if needed to make room for new chambers.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Christopher Dionne</author>
  </authors>
  <commentList>
    <comment ref="A13" authorId="0" shapeId="0" xr:uid="{5E9E8DA6-EE5D-4195-B53A-3E516F0D6886}">
      <text>
        <r>
          <rPr>
            <b/>
            <sz val="9"/>
            <color indexed="81"/>
            <rFont val="Tahoma"/>
            <family val="2"/>
          </rPr>
          <t>Christopher Dionne:</t>
        </r>
        <r>
          <rPr>
            <sz val="9"/>
            <color indexed="81"/>
            <rFont val="Tahoma"/>
            <family val="2"/>
          </rPr>
          <t xml:space="preserve">
I tried to get rid of this column. I really did. But Excel/Microsoft failed me. Due to a floating point precision error, I was not able to  make this work using the height in mm alone.</t>
        </r>
      </text>
    </comment>
    <comment ref="I13" authorId="0" shapeId="0" xr:uid="{FFD04623-D301-4D47-BF6E-90CFE31A0542}">
      <text>
        <r>
          <rPr>
            <b/>
            <sz val="9"/>
            <color indexed="81"/>
            <rFont val="Tahoma"/>
            <family val="2"/>
          </rPr>
          <t>Christopher Dionne:</t>
        </r>
        <r>
          <rPr>
            <sz val="9"/>
            <color indexed="81"/>
            <rFont val="Tahoma"/>
            <family val="2"/>
          </rPr>
          <t xml:space="preserve">
volume within stone void for 1" (25.4mm) over entire bed area (perimeter stone included)</t>
        </r>
      </text>
    </comment>
    <comment ref="J13" authorId="0" shapeId="0" xr:uid="{D9B31C88-ABFC-41B9-8B43-AE4738749805}">
      <text>
        <r>
          <rPr>
            <b/>
            <sz val="9"/>
            <color indexed="81"/>
            <rFont val="Tahoma"/>
            <family val="2"/>
          </rPr>
          <t>Christopher Dionne:</t>
        </r>
        <r>
          <rPr>
            <sz val="9"/>
            <color indexed="81"/>
            <rFont val="Tahoma"/>
            <family val="2"/>
          </rPr>
          <t xml:space="preserve">
volume held within stone voids for min installed area for 1" (25.4mm)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Christopher Dionne</author>
  </authors>
  <commentList>
    <comment ref="B2" authorId="0" shapeId="0" xr:uid="{036B2000-E3FC-422F-9E95-0AB44DCC8A1A}">
      <text>
        <r>
          <rPr>
            <b/>
            <sz val="9"/>
            <color indexed="81"/>
            <rFont val="Tahoma"/>
            <family val="2"/>
          </rPr>
          <t>Christopher Dionne:</t>
        </r>
        <r>
          <rPr>
            <sz val="9"/>
            <color indexed="81"/>
            <rFont val="Tahoma"/>
            <family val="2"/>
          </rPr>
          <t xml:space="preserve">
This is a TRUE/FALSE check to see if the selected chamber is or is not on the list below. (i.e., does the selected chamber model include end cap storage)</t>
        </r>
      </text>
    </comment>
    <comment ref="E2" authorId="0" shapeId="0" xr:uid="{8547DB42-47DF-4FAD-A832-272010063CDF}">
      <text>
        <r>
          <rPr>
            <b/>
            <sz val="9"/>
            <color indexed="81"/>
            <rFont val="Tahoma"/>
            <family val="2"/>
          </rPr>
          <t>Christopher Dionne:</t>
        </r>
        <r>
          <rPr>
            <sz val="9"/>
            <color indexed="81"/>
            <rFont val="Tahoma"/>
            <family val="2"/>
          </rPr>
          <t xml:space="preserve">
Each chamber should have a column for the incremental chamber volumes and one for incremental end cap volumes (even if the chamber is not included in the list to left). The end cap columns should be appended with "EC" at the end of the model code for the calculations to be performed correctly.
To add new chambers, simply "insert" two new columns and rename them according to the new model and end cap. Paste incremental data into the column. Note, the top of the chamber is at top of the table and the bottom of the chamber is further down the list (i.e., the largest increments should be further down the table).
These are NOT calculated from the Imperial. These are direct input. You must calculate the incremental volumes separately before inputting them into this table.</t>
        </r>
      </text>
    </comment>
    <comment ref="V2" authorId="0" shapeId="0" xr:uid="{E6FD05F0-F0BA-4F1B-AC14-34DBFEBD8FD9}">
      <text>
        <r>
          <rPr>
            <b/>
            <sz val="9"/>
            <color indexed="81"/>
            <rFont val="Tahoma"/>
            <family val="2"/>
          </rPr>
          <t>Christopher Dionne:</t>
        </r>
        <r>
          <rPr>
            <sz val="9"/>
            <color indexed="81"/>
            <rFont val="Tahoma"/>
            <family val="2"/>
          </rPr>
          <t xml:space="preserve">
Dimensions of the chambers. To add new models simpy type under the last row.
These values ARE calculated from the Imperial table. Update Imperial table first and then just add the new Chamber Model to this list and it should auto-complete.</t>
        </r>
      </text>
    </comment>
    <comment ref="AA2" authorId="0" shapeId="0" xr:uid="{4DF35C44-8EFC-4E62-81D9-B34009D06346}">
      <text>
        <r>
          <rPr>
            <b/>
            <sz val="9"/>
            <color indexed="81"/>
            <rFont val="Tahoma"/>
            <family val="2"/>
          </rPr>
          <t>Christopher Dionne:</t>
        </r>
        <r>
          <rPr>
            <sz val="9"/>
            <color indexed="81"/>
            <rFont val="Tahoma"/>
            <family val="2"/>
          </rPr>
          <t xml:space="preserve">
This sections pulls out the data specific to the chamber that is selected.</t>
        </r>
      </text>
    </comment>
    <comment ref="AE2" authorId="0" shapeId="0" xr:uid="{0685C958-C642-42A1-80DA-72967C32D8FA}">
      <text>
        <r>
          <rPr>
            <b/>
            <sz val="9"/>
            <color indexed="81"/>
            <rFont val="Tahoma"/>
            <family val="2"/>
          </rPr>
          <t>Christopher Dionne:</t>
        </r>
        <r>
          <rPr>
            <sz val="9"/>
            <color indexed="81"/>
            <rFont val="Tahoma"/>
            <family val="2"/>
          </rPr>
          <t xml:space="preserve">
First increment, as far as I can tell, uses the cover stone depth, increments down an inch at a time, and then checks for when that reaches "0". In the next column, once that "0" value was achieved, it will start at 1inch, which is the top of the chamber or end cap incremental storage, and work down to the base of the chamber/end cap. This is then used to slot in the increment volume into the correct depth in the calc's.
Note: this is in imperial. Unforunately, when i tried to make this work in metric it was not willing to comply. Left as imperial as it worked and has negligible impact on the calc's.</t>
        </r>
      </text>
    </comment>
    <comment ref="AD3" authorId="0" shapeId="0" xr:uid="{395EC8AF-B9BB-4F5F-A1D5-673F361303F9}">
      <text>
        <r>
          <rPr>
            <b/>
            <sz val="9"/>
            <color indexed="81"/>
            <rFont val="Tahoma"/>
            <family val="2"/>
          </rPr>
          <t>Christopher Dionne:</t>
        </r>
        <r>
          <rPr>
            <sz val="9"/>
            <color indexed="81"/>
            <rFont val="Tahoma"/>
            <family val="2"/>
          </rPr>
          <t xml:space="preserve">
No, this is not a mistake. This unfortunately needs to be here. I tried to make the "first increment" work with metric and it refused. Had to switch back to using imperial and the imperial heights in the data table to reference the corresponding chamber volumes. When I tried to do this with metric is would begin counting chamber volumes one inch lower than when the chamber started. So, I defaulted back to how it was calculated in the previous version of the sheet.</t>
        </r>
      </text>
    </comment>
    <comment ref="B4" authorId="0" shapeId="0" xr:uid="{7D787D11-EC5E-4AD3-9C25-40CECA5ABFB1}">
      <text>
        <r>
          <rPr>
            <b/>
            <sz val="9"/>
            <color indexed="81"/>
            <rFont val="Tahoma"/>
            <family val="2"/>
          </rPr>
          <t>Christopher Dionne:</t>
        </r>
        <r>
          <rPr>
            <sz val="9"/>
            <color indexed="81"/>
            <rFont val="Tahoma"/>
            <family val="2"/>
          </rPr>
          <t xml:space="preserve">
Only add chambers to this list if the volume is to include end cap storage in the calculations.
This list does need to be updated separately from the Imperial list</t>
        </r>
      </text>
    </comment>
    <comment ref="AC13" authorId="0" shapeId="0" xr:uid="{A540F470-87BA-42F9-94E3-0476C61BFA9E}">
      <text>
        <r>
          <rPr>
            <b/>
            <sz val="9"/>
            <color indexed="81"/>
            <rFont val="Tahoma"/>
            <family val="2"/>
          </rPr>
          <t>Christopher Dionne:</t>
        </r>
        <r>
          <rPr>
            <sz val="9"/>
            <color indexed="81"/>
            <rFont val="Tahoma"/>
            <family val="2"/>
          </rPr>
          <t xml:space="preserve">
Unfortunately, this set of calc's is necessary to make the Metric calc's work. Specifically, the portion that causes the unused cells to "disappear". See metric calc's sheet.</t>
        </r>
      </text>
    </comment>
    <comment ref="V16" authorId="0" shapeId="0" xr:uid="{B7BC7E68-D1F1-43C5-B0C2-9CDE98EE67B9}">
      <text>
        <r>
          <rPr>
            <b/>
            <sz val="9"/>
            <color indexed="81"/>
            <rFont val="Tahoma"/>
            <family val="2"/>
          </rPr>
          <t>Christopher Dionne:</t>
        </r>
        <r>
          <rPr>
            <sz val="9"/>
            <color indexed="81"/>
            <rFont val="Tahoma"/>
            <family val="2"/>
          </rPr>
          <t xml:space="preserve">
Dimensions specific to the end caps. For smaller chambers, end cap area is negligible. This whole table can be highlighted and moved if needed to make room for new chambers.
These values ARE calculated from the Imperial table. Update Imperial table first and then just add the new Chamber Model to this list and it should auto-complete.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<sst xmlns="http://schemas.openxmlformats.org/spreadsheetml/2006/main" count="454" uniqueCount="169">
  <si>
    <t>Project:</t>
  </si>
  <si>
    <t>Chamber</t>
  </si>
  <si>
    <t>End Cap</t>
  </si>
  <si>
    <t>Area</t>
  </si>
  <si>
    <t>Width</t>
  </si>
  <si>
    <t>Length</t>
  </si>
  <si>
    <t>Separation</t>
  </si>
  <si>
    <t>Edge Stone</t>
  </si>
  <si>
    <t xml:space="preserve">Chamber Model - </t>
  </si>
  <si>
    <t>Units -</t>
  </si>
  <si>
    <t>Imperial</t>
  </si>
  <si>
    <t>SC-310</t>
  </si>
  <si>
    <t>SC-740</t>
  </si>
  <si>
    <t>DC-780</t>
  </si>
  <si>
    <t xml:space="preserve">Voids in the stone (porosity) - </t>
  </si>
  <si>
    <t>%</t>
  </si>
  <si>
    <t>MC-3500</t>
  </si>
  <si>
    <t xml:space="preserve">NOTE: 3500 edge stone is set to match the chamber seperation. </t>
  </si>
  <si>
    <t xml:space="preserve">NOTE: If the software program being used allows for Stage Volume data, it is recommended to use the stage volume data from this spreadsheet.  Software programs typically use linear interpolation to take stage area data and estimate stage volume data.  Due to rounding differences over the total number of stages provided in this spreadsheet, the accuracy of the estimated volume could be off as much as 1%. It is recommended that the user check the software estimated volume and compare it to the volume listed in this spreadsheet to ensure the accuracy is within acceptable levels.  </t>
  </si>
  <si>
    <t>ft</t>
  </si>
  <si>
    <t>MC-4500</t>
  </si>
  <si>
    <t>MC-7200</t>
  </si>
  <si>
    <t xml:space="preserve">Amount of Stone Above Chambers - </t>
  </si>
  <si>
    <t>in</t>
  </si>
  <si>
    <t>Amount of Stone Below Chambers -</t>
  </si>
  <si>
    <t>System Depth</t>
  </si>
  <si>
    <t xml:space="preserve">Height of System </t>
  </si>
  <si>
    <t>Incremental Single Chamber</t>
  </si>
  <si>
    <t>Cumulative Chamber</t>
  </si>
  <si>
    <t>Elevation</t>
  </si>
  <si>
    <t>Depth</t>
  </si>
  <si>
    <t>Sum</t>
  </si>
  <si>
    <t>Stage Area</t>
  </si>
  <si>
    <t>Perimeter Stone</t>
  </si>
  <si>
    <t>(inches)</t>
  </si>
  <si>
    <t>(cubic feet)</t>
  </si>
  <si>
    <t>(feet)</t>
  </si>
  <si>
    <t>(ft2)</t>
  </si>
  <si>
    <t>Invet Stage Area</t>
  </si>
  <si>
    <t>Both True</t>
  </si>
  <si>
    <t>Metric</t>
  </si>
  <si>
    <t>m</t>
  </si>
  <si>
    <t>mm</t>
  </si>
  <si>
    <t>Area must be at least value listed to right -</t>
  </si>
  <si>
    <t>(mm)</t>
  </si>
  <si>
    <t>(cubic meters)</t>
  </si>
  <si>
    <t>(meters)</t>
  </si>
  <si>
    <t>(meter)</t>
  </si>
  <si>
    <t>(m2)</t>
  </si>
  <si>
    <t>Invert</t>
  </si>
  <si>
    <t>Both</t>
  </si>
  <si>
    <t>Number of chambers -</t>
  </si>
  <si>
    <t xml:space="preserve">Base of stone elevation - </t>
  </si>
  <si>
    <t>Amount of stone above chambers -</t>
  </si>
  <si>
    <t>Amount of stone below chambers -</t>
  </si>
  <si>
    <t>Height of System (in)</t>
  </si>
  <si>
    <r>
      <t>Incremental Single Chamber (ft</t>
    </r>
    <r>
      <rPr>
        <vertAlign val="superscript"/>
        <sz val="10"/>
        <rFont val="Arial"/>
        <family val="2"/>
      </rPr>
      <t>3</t>
    </r>
    <r>
      <rPr>
        <sz val="10"/>
        <rFont val="Arial"/>
        <family val="2"/>
      </rPr>
      <t>)</t>
    </r>
  </si>
  <si>
    <t>Height of Stone</t>
  </si>
  <si>
    <t xml:space="preserve">Number of end caps - </t>
  </si>
  <si>
    <t>Incremental Single End Cap</t>
  </si>
  <si>
    <r>
      <t>Incremental Chambers (ft</t>
    </r>
    <r>
      <rPr>
        <vertAlign val="superscript"/>
        <sz val="10"/>
        <rFont val="Arial"/>
        <family val="2"/>
      </rPr>
      <t>3</t>
    </r>
    <r>
      <rPr>
        <sz val="10"/>
        <rFont val="Arial"/>
        <family val="2"/>
      </rPr>
      <t>)</t>
    </r>
  </si>
  <si>
    <r>
      <t>Incremental End Caps (ft</t>
    </r>
    <r>
      <rPr>
        <vertAlign val="superscript"/>
        <sz val="10"/>
        <rFont val="Arial"/>
        <family val="2"/>
      </rPr>
      <t>3</t>
    </r>
    <r>
      <rPr>
        <sz val="10"/>
        <rFont val="Arial"/>
        <family val="2"/>
      </rPr>
      <t>)</t>
    </r>
  </si>
  <si>
    <r>
      <t>Incremental Stone (ft</t>
    </r>
    <r>
      <rPr>
        <vertAlign val="superscript"/>
        <sz val="10"/>
        <rFont val="Arial"/>
        <family val="2"/>
      </rPr>
      <t>3</t>
    </r>
    <r>
      <rPr>
        <sz val="10"/>
        <rFont val="Arial"/>
        <family val="2"/>
      </rPr>
      <t>)</t>
    </r>
  </si>
  <si>
    <r>
      <t>Incremental Chamber, End Cap and Stone (ft</t>
    </r>
    <r>
      <rPr>
        <vertAlign val="superscript"/>
        <sz val="10"/>
        <rFont val="Arial"/>
        <family val="2"/>
      </rPr>
      <t>3</t>
    </r>
    <r>
      <rPr>
        <sz val="10"/>
        <rFont val="Arial"/>
        <family val="2"/>
      </rPr>
      <t>)</t>
    </r>
  </si>
  <si>
    <r>
      <t>Incremental Chamber,  End Cap and Stone (ft</t>
    </r>
    <r>
      <rPr>
        <vertAlign val="superscript"/>
        <sz val="10"/>
        <rFont val="Arial"/>
        <family val="2"/>
      </rPr>
      <t>3</t>
    </r>
    <r>
      <rPr>
        <sz val="10"/>
        <rFont val="Arial"/>
        <family val="2"/>
      </rPr>
      <t>)</t>
    </r>
  </si>
  <si>
    <r>
      <t>Cumulative System (ft</t>
    </r>
    <r>
      <rPr>
        <vertAlign val="superscript"/>
        <sz val="10"/>
        <rFont val="Arial"/>
        <family val="2"/>
      </rPr>
      <t>3</t>
    </r>
    <r>
      <rPr>
        <sz val="10"/>
        <rFont val="Arial"/>
        <family val="2"/>
      </rPr>
      <t>)</t>
    </r>
  </si>
  <si>
    <r>
      <t xml:space="preserve">Cumulative </t>
    </r>
    <r>
      <rPr>
        <sz val="10"/>
        <rFont val="Arial"/>
        <family val="2"/>
      </rPr>
      <t>System (w/perimeter) (ft</t>
    </r>
    <r>
      <rPr>
        <vertAlign val="superscript"/>
        <sz val="10"/>
        <rFont val="Arial"/>
        <family val="2"/>
      </rPr>
      <t>3</t>
    </r>
    <r>
      <rPr>
        <sz val="10"/>
        <rFont val="Arial"/>
        <family val="2"/>
      </rPr>
      <t xml:space="preserve">) </t>
    </r>
  </si>
  <si>
    <r>
      <t xml:space="preserve">Cumulative </t>
    </r>
    <r>
      <rPr>
        <sz val="10"/>
        <rFont val="Arial"/>
        <family val="2"/>
      </rPr>
      <t xml:space="preserve">  System (ft</t>
    </r>
    <r>
      <rPr>
        <vertAlign val="superscript"/>
        <sz val="10"/>
        <rFont val="Arial"/>
        <family val="2"/>
      </rPr>
      <t>3</t>
    </r>
    <r>
      <rPr>
        <sz val="10"/>
        <rFont val="Arial"/>
        <family val="2"/>
      </rPr>
      <t xml:space="preserve">) </t>
    </r>
  </si>
  <si>
    <r>
      <t>Incremental Chamber      Stone (ft</t>
    </r>
    <r>
      <rPr>
        <vertAlign val="superscript"/>
        <sz val="10"/>
        <rFont val="Arial"/>
        <family val="2"/>
      </rPr>
      <t>3</t>
    </r>
    <r>
      <rPr>
        <sz val="10"/>
        <rFont val="Arial"/>
        <family val="2"/>
      </rPr>
      <t>)</t>
    </r>
  </si>
  <si>
    <t>Incremental Chambers Stone (ft3)</t>
  </si>
  <si>
    <r>
      <t>Incremental End Cap Stone (ft</t>
    </r>
    <r>
      <rPr>
        <vertAlign val="superscript"/>
        <sz val="10"/>
        <rFont val="Arial"/>
        <family val="2"/>
      </rPr>
      <t>3</t>
    </r>
    <r>
      <rPr>
        <sz val="10"/>
        <rFont val="Arial"/>
        <family val="2"/>
      </rPr>
      <t>)</t>
    </r>
  </si>
  <si>
    <t>Incremental End Caps Stone (ft3)</t>
  </si>
  <si>
    <r>
      <t>Cumulative Bare Chamber (ft</t>
    </r>
    <r>
      <rPr>
        <vertAlign val="superscript"/>
        <sz val="10"/>
        <rFont val="Arial"/>
        <family val="2"/>
      </rPr>
      <t>3</t>
    </r>
    <r>
      <rPr>
        <sz val="10"/>
        <rFont val="Arial"/>
        <family val="2"/>
      </rPr>
      <t>)</t>
    </r>
  </si>
  <si>
    <r>
      <t>Cumulative Bare End Cap (ft</t>
    </r>
    <r>
      <rPr>
        <vertAlign val="superscript"/>
        <sz val="10"/>
        <rFont val="Arial"/>
        <family val="2"/>
      </rPr>
      <t>3</t>
    </r>
    <r>
      <rPr>
        <sz val="10"/>
        <rFont val="Arial"/>
        <family val="2"/>
      </rPr>
      <t>)</t>
    </r>
  </si>
  <si>
    <r>
      <t>Cumulative Chamber (ft</t>
    </r>
    <r>
      <rPr>
        <vertAlign val="superscript"/>
        <sz val="10"/>
        <rFont val="Arial"/>
        <family val="2"/>
      </rPr>
      <t>3</t>
    </r>
    <r>
      <rPr>
        <sz val="10"/>
        <rFont val="Arial"/>
        <family val="2"/>
      </rPr>
      <t>)</t>
    </r>
  </si>
  <si>
    <r>
      <t>Cumulative End Cap (ft</t>
    </r>
    <r>
      <rPr>
        <vertAlign val="superscript"/>
        <sz val="10"/>
        <rFont val="Arial"/>
        <family val="2"/>
      </rPr>
      <t>3</t>
    </r>
    <r>
      <rPr>
        <sz val="10"/>
        <rFont val="Arial"/>
        <family val="2"/>
      </rPr>
      <t>)</t>
    </r>
  </si>
  <si>
    <r>
      <t>Cumulative Stone (ft</t>
    </r>
    <r>
      <rPr>
        <vertAlign val="superscript"/>
        <sz val="10"/>
        <rFont val="Arial"/>
        <family val="2"/>
      </rPr>
      <t>3</t>
    </r>
    <r>
      <rPr>
        <sz val="10"/>
        <rFont val="Arial"/>
        <family val="2"/>
      </rPr>
      <t>)</t>
    </r>
  </si>
  <si>
    <t>Elevation (ft)</t>
  </si>
  <si>
    <t>Height of Chamber</t>
  </si>
  <si>
    <t>w/ 6" stone</t>
  </si>
  <si>
    <t>w/ 12" stone</t>
  </si>
  <si>
    <t>Chamber Height</t>
  </si>
  <si>
    <t>Height of System (mm)</t>
  </si>
  <si>
    <r>
      <t>Incremental Single Chamber (m</t>
    </r>
    <r>
      <rPr>
        <vertAlign val="superscript"/>
        <sz val="10"/>
        <rFont val="Arial"/>
        <family val="2"/>
      </rPr>
      <t>3</t>
    </r>
    <r>
      <rPr>
        <sz val="10"/>
        <rFont val="Arial"/>
        <family val="2"/>
      </rPr>
      <t>)</t>
    </r>
  </si>
  <si>
    <t>Elevation (m)</t>
  </si>
  <si>
    <t>conversion</t>
  </si>
  <si>
    <t>Updated 2/10/21</t>
  </si>
  <si>
    <t>cubic meters</t>
  </si>
  <si>
    <t>length</t>
  </si>
  <si>
    <t>length EC</t>
  </si>
  <si>
    <t>off</t>
  </si>
  <si>
    <t>Asks if perimeter or not</t>
  </si>
  <si>
    <t>references length</t>
  </si>
  <si>
    <t>references width</t>
  </si>
  <si>
    <r>
      <t>Incremental Single End Cap (m</t>
    </r>
    <r>
      <rPr>
        <vertAlign val="superscript"/>
        <sz val="10"/>
        <rFont val="Arial"/>
        <family val="2"/>
      </rPr>
      <t>3</t>
    </r>
    <r>
      <rPr>
        <sz val="10"/>
        <rFont val="Arial"/>
        <family val="2"/>
      </rPr>
      <t>)</t>
    </r>
  </si>
  <si>
    <r>
      <t>Incremental Chambers (m</t>
    </r>
    <r>
      <rPr>
        <vertAlign val="superscript"/>
        <sz val="10"/>
        <rFont val="Arial"/>
        <family val="2"/>
      </rPr>
      <t>3</t>
    </r>
    <r>
      <rPr>
        <sz val="10"/>
        <rFont val="Arial"/>
        <family val="2"/>
      </rPr>
      <t>)</t>
    </r>
  </si>
  <si>
    <r>
      <t>Incremental End Caps (m</t>
    </r>
    <r>
      <rPr>
        <vertAlign val="superscript"/>
        <sz val="10"/>
        <rFont val="Arial"/>
        <family val="2"/>
      </rPr>
      <t>3</t>
    </r>
    <r>
      <rPr>
        <sz val="10"/>
        <rFont val="Arial"/>
        <family val="2"/>
      </rPr>
      <t>)</t>
    </r>
  </si>
  <si>
    <r>
      <t>Incremental Stone (m</t>
    </r>
    <r>
      <rPr>
        <vertAlign val="superscript"/>
        <sz val="10"/>
        <rFont val="Arial"/>
        <family val="2"/>
      </rPr>
      <t>3</t>
    </r>
    <r>
      <rPr>
        <sz val="10"/>
        <rFont val="Arial"/>
        <family val="2"/>
      </rPr>
      <t>)</t>
    </r>
  </si>
  <si>
    <r>
      <t>Incremental Chamber, End Cap and Stone (m</t>
    </r>
    <r>
      <rPr>
        <vertAlign val="superscript"/>
        <sz val="10"/>
        <rFont val="Arial"/>
        <family val="2"/>
      </rPr>
      <t>3</t>
    </r>
    <r>
      <rPr>
        <sz val="10"/>
        <rFont val="Arial"/>
        <family val="2"/>
      </rPr>
      <t>)</t>
    </r>
  </si>
  <si>
    <t>MC-3500 Sep</t>
  </si>
  <si>
    <t>SC-160LP</t>
  </si>
  <si>
    <t>SC-800</t>
  </si>
  <si>
    <t>Height</t>
  </si>
  <si>
    <t>First Increment</t>
  </si>
  <si>
    <t>SC-740EC</t>
  </si>
  <si>
    <t>MC-3500EC</t>
  </si>
  <si>
    <t>MC-7200EC</t>
  </si>
  <si>
    <t>SC-800EC</t>
  </si>
  <si>
    <t>SC-160LPEC</t>
  </si>
  <si>
    <t>SC-310EC</t>
  </si>
  <si>
    <t>MC-4500EC</t>
  </si>
  <si>
    <t>Chambers that include end caps</t>
  </si>
  <si>
    <t>DC-780EC</t>
  </si>
  <si>
    <t>Notes</t>
  </si>
  <si>
    <t>Inches</t>
  </si>
  <si>
    <t>Feet</t>
  </si>
  <si>
    <t>EC Length</t>
  </si>
  <si>
    <t>Meter</t>
  </si>
  <si>
    <t>Millimeter</t>
  </si>
  <si>
    <r>
      <t>Incremental Chamber,  End Cap and Stone (m</t>
    </r>
    <r>
      <rPr>
        <vertAlign val="superscript"/>
        <sz val="10"/>
        <rFont val="Arial"/>
        <family val="2"/>
      </rPr>
      <t>3</t>
    </r>
    <r>
      <rPr>
        <sz val="10"/>
        <rFont val="Arial"/>
        <family val="2"/>
      </rPr>
      <t>)</t>
    </r>
  </si>
  <si>
    <t>Cover stone</t>
  </si>
  <si>
    <t>Base stone</t>
  </si>
  <si>
    <t>Total system height</t>
  </si>
  <si>
    <t>Minimum Base stone depth</t>
  </si>
  <si>
    <t>Check</t>
  </si>
  <si>
    <t>Minimum Cover stone depth</t>
  </si>
  <si>
    <t>No End Caps</t>
  </si>
  <si>
    <t>End Caps</t>
  </si>
  <si>
    <t>Top of storage</t>
  </si>
  <si>
    <t>Bottom of storage</t>
  </si>
  <si>
    <t>WQv</t>
  </si>
  <si>
    <t>End Cap Data Validation</t>
  </si>
  <si>
    <t>Version 1.0</t>
  </si>
  <si>
    <t>Any version prior to version 1.0 (as outlined below) is untracked as these prior changes were never documented</t>
  </si>
  <si>
    <t>Version</t>
  </si>
  <si>
    <t>Date</t>
  </si>
  <si>
    <t>Yes</t>
  </si>
  <si>
    <t>No</t>
  </si>
  <si>
    <t>Max height of system</t>
  </si>
  <si>
    <t>Target Volume</t>
  </si>
  <si>
    <t>Interpolation Tools</t>
  </si>
  <si>
    <t>Top of Storage Elevation</t>
  </si>
  <si>
    <t>Volume above Top of Storage Elevation</t>
  </si>
  <si>
    <t>Volume below Top of Storage Elevation</t>
  </si>
  <si>
    <t>Volume between Top and Bottom of Storage</t>
  </si>
  <si>
    <t>Bottom of Storage Elevation</t>
  </si>
  <si>
    <t>Volume above Bottom of Storage</t>
  </si>
  <si>
    <t>Volume below Bottom of Storage</t>
  </si>
  <si>
    <t>Volume above Top of Storage</t>
  </si>
  <si>
    <t>Volume below Top of Storage</t>
  </si>
  <si>
    <t>Click to Define Target Volume &amp; Reference Elevation</t>
  </si>
  <si>
    <t>Reference Elevation</t>
  </si>
  <si>
    <t>Volume below Reference Elevation</t>
  </si>
  <si>
    <t>Click to Define Top and/or Bottom of storage</t>
  </si>
  <si>
    <t>Toggle Printout</t>
  </si>
  <si>
    <t>Target Volume + Volume Below Reference Elevation</t>
  </si>
  <si>
    <t>Target Volume achieved at Elevation</t>
  </si>
  <si>
    <t>Used in conditional formatting to Highlight target elevation</t>
  </si>
  <si>
    <t>% Credit</t>
  </si>
  <si>
    <t>% Credited toward Target Volume above Reference Elevation</t>
  </si>
  <si>
    <t>% Credited toward Target Volume below Reference Elevation</t>
  </si>
  <si>
    <t>(Optional) Apply % Credit toward Target Volume</t>
  </si>
  <si>
    <t>Volume Credited below Reference Elevation</t>
  </si>
  <si>
    <t>Volume Credited above Reference Elevation</t>
  </si>
  <si>
    <t>Volume Discredited below Reference Elevation</t>
  </si>
  <si>
    <t>Volume Discredited above Reference Elevation</t>
  </si>
  <si>
    <t>Version 1.1</t>
  </si>
  <si>
    <t>Baseline version established for future tracking. This version marks the start of documented updates from 11/12/24 Edits made at the request of developers  to remove #REF errors, named cells #REF errors, and other performance issues.In addition, Interpolation tools made "external" and redesigned to suit needs of FL and MWRD areas. 310-3 made to defeault spacing. 30" added to max depth allowable, now 210".</t>
  </si>
  <si>
    <t>All XLOOKUP functions have been replaced with INDEX MATCH functions in order to provide backwards compatibility. 800 spacing reduced.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</si>
</sst>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0.0"/>
    <numFmt numFmtId="165" formatCode="0;\-0;;@"/>
    <numFmt numFmtId="166" formatCode="#####?&quot; sf&quot;"/>
    <numFmt numFmtId="167" formatCode="0.0000"/>
    <numFmt numFmtId="168" formatCode="######?&quot; sf  min. area&quot;"/>
    <numFmt numFmtId="169" formatCode="0.000"/>
    <numFmt numFmtId="170" formatCode="######.###&quot; sq.meters&quot;"/>
  </numFmts>
  <fonts count="43" x14ac:knownFonts="1">
    <font>
      <sz val="10"/>
      <name val="Arial"/>
    </font>
    <font>
      <sz val="10"/>
      <name val="Arial"/>
      <family val="2"/>
    </font>
    <font>
      <b/>
      <sz val="12"/>
      <name val="Arial"/>
      <family val="2"/>
    </font>
    <font>
      <sz val="8"/>
      <name val="Arial"/>
      <family val="2"/>
    </font>
    <font>
      <sz val="10"/>
      <color indexed="12"/>
      <name val="Arial"/>
      <family val="2"/>
    </font>
    <font>
      <sz val="8"/>
      <color indexed="10"/>
      <name val="Arial"/>
      <family val="2"/>
    </font>
    <font>
      <sz val="10"/>
      <color indexed="10"/>
      <name val="Arial"/>
      <family val="2"/>
    </font>
    <font>
      <b/>
      <sz val="18"/>
      <color indexed="40"/>
      <name val="Arial"/>
      <family val="2"/>
    </font>
    <font>
      <b/>
      <sz val="14"/>
      <color indexed="40"/>
      <name val="Arial"/>
      <family val="2"/>
    </font>
    <font>
      <vertAlign val="superscript"/>
      <sz val="10"/>
      <name val="Arial"/>
      <family val="2"/>
    </font>
    <font>
      <sz val="10"/>
      <name val="Arial"/>
      <family val="2"/>
    </font>
    <font>
      <b/>
      <sz val="14"/>
      <name val="Arial"/>
      <family val="2"/>
    </font>
    <font>
      <b/>
      <sz val="10"/>
      <name val="Arial"/>
      <family val="2"/>
    </font>
    <font>
      <i/>
      <sz val="10"/>
      <name val="Arial"/>
      <family val="2"/>
    </font>
    <font>
      <i/>
      <sz val="8"/>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0"/>
      <color rgb="FFFF0000"/>
      <name val="Arial"/>
      <family val="2"/>
    </font>
    <font>
      <b/>
      <sz val="10"/>
      <color rgb="FFFF0000"/>
      <name val="Arial"/>
      <family val="2"/>
    </font>
    <font>
      <sz val="8"/>
      <color rgb="FF000000"/>
      <name val="Tahoma"/>
      <family val="2"/>
    </font>
    <font>
      <sz val="8"/>
      <name val="Arial"/>
      <family val="2"/>
    </font>
    <font>
      <sz val="9"/>
      <color indexed="81"/>
      <name val="Tahoma"/>
      <family val="2"/>
    </font>
    <font>
      <b/>
      <sz val="9"/>
      <color indexed="81"/>
      <name val="Tahoma"/>
      <family val="2"/>
    </font>
    <font>
      <sz val="10"/>
      <color theme="1"/>
      <name val="Arial"/>
      <family val="2"/>
    </font>
    <font>
      <sz val="18"/>
      <color rgb="FFFF0000"/>
      <name val="Arial"/>
      <family val="2"/>
    </font>
    <font>
      <sz val="10"/>
      <color theme="0"/>
      <name val="Arial"/>
      <family val="2"/>
    </font>
    <font>
      <b/>
      <sz val="10"/>
      <color theme="1"/>
      <name val="Arial"/>
      <family val="2"/>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4"/>
        <bgColor indexed="64"/>
      </patternFill>
    </fill>
    <fill>
      <patternFill patternType="solid">
        <fgColor indexed="42"/>
        <bgColor indexed="64"/>
      </patternFill>
    </fill>
    <fill>
      <patternFill patternType="solid">
        <fgColor indexed="15"/>
        <bgColor indexed="64"/>
      </patternFill>
    </fill>
    <fill>
      <patternFill patternType="solid">
        <fgColor indexed="13"/>
        <bgColor indexed="64"/>
      </patternFill>
    </fill>
    <fill>
      <patternFill patternType="solid">
        <fgColor indexed="48"/>
        <bgColor indexed="64"/>
      </patternFill>
    </fill>
    <fill>
      <patternFill patternType="solid">
        <fgColor rgb="FFFF0000"/>
        <bgColor indexed="64"/>
      </patternFill>
    </fill>
    <fill>
      <patternFill patternType="solid">
        <fgColor rgb="FF97D700"/>
        <bgColor indexed="64"/>
      </patternFill>
    </fill>
    <fill>
      <patternFill patternType="lightUp">
        <fgColor rgb="FF97D700"/>
      </patternFill>
    </fill>
    <fill>
      <patternFill patternType="solid">
        <fgColor theme="6" tint="0.3999450666829432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C4D79B"/>
        <bgColor indexed="64"/>
      </patternFill>
    </fill>
    <fill>
      <patternFill patternType="solid">
        <fgColor rgb="FFFFFF00"/>
        <bgColor indexed="64"/>
      </patternFill>
    </fill>
  </fills>
  <borders count="5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auto="1"/>
      </right>
      <top/>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thin">
        <color auto="1"/>
      </top>
      <bottom/>
      <diagonal/>
    </border>
    <border>
      <left style="thin">
        <color indexed="64"/>
      </left>
      <right style="thin">
        <color indexed="64"/>
      </right>
      <top style="medium">
        <color indexed="64"/>
      </top>
      <bottom/>
      <diagonal/>
    </border>
    <border>
      <left/>
      <right/>
      <top style="thin">
        <color auto="1"/>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44">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7" fillId="3" borderId="0" applyNumberFormat="0" applyBorder="0" applyAlignment="0" applyProtection="0"/>
    <xf numFmtId="0" fontId="18" fillId="20" borderId="1" applyNumberFormat="0" applyAlignment="0" applyProtection="0"/>
    <xf numFmtId="0" fontId="19" fillId="21" borderId="2" applyNumberFormat="0" applyAlignment="0" applyProtection="0"/>
    <xf numFmtId="0" fontId="20" fillId="0" borderId="0" applyNumberFormat="0" applyFill="0" applyBorder="0" applyAlignment="0" applyProtection="0"/>
    <xf numFmtId="0" fontId="21" fillId="4" borderId="0" applyNumberFormat="0" applyBorder="0" applyAlignment="0" applyProtection="0"/>
    <xf numFmtId="0" fontId="22" fillId="0" borderId="3" applyNumberFormat="0" applyFill="0" applyAlignment="0" applyProtection="0"/>
    <xf numFmtId="0" fontId="23" fillId="0" borderId="4" applyNumberFormat="0" applyFill="0" applyAlignment="0" applyProtection="0"/>
    <xf numFmtId="0" fontId="24" fillId="0" borderId="5" applyNumberFormat="0" applyFill="0" applyAlignment="0" applyProtection="0"/>
    <xf numFmtId="0" fontId="24" fillId="0" borderId="0" applyNumberFormat="0" applyFill="0" applyBorder="0" applyAlignment="0" applyProtection="0"/>
    <xf numFmtId="0" fontId="25" fillId="7" borderId="1" applyNumberFormat="0" applyAlignment="0" applyProtection="0"/>
    <xf numFmtId="0" fontId="26" fillId="0" borderId="6" applyNumberFormat="0" applyFill="0" applyAlignment="0" applyProtection="0"/>
    <xf numFmtId="0" fontId="27" fillId="22" borderId="0" applyNumberFormat="0" applyBorder="0" applyAlignment="0" applyProtection="0"/>
    <xf numFmtId="0" fontId="10" fillId="0" borderId="0"/>
    <xf numFmtId="0" fontId="32" fillId="0" borderId="0"/>
    <xf numFmtId="0" fontId="1" fillId="23" borderId="7" applyNumberFormat="0" applyFont="0" applyAlignment="0" applyProtection="0"/>
    <xf numFmtId="0" fontId="28" fillId="20" borderId="8" applyNumberFormat="0" applyAlignment="0" applyProtection="0"/>
    <xf numFmtId="0" fontId="29" fillId="0" borderId="0" applyNumberFormat="0" applyFill="0" applyBorder="0" applyAlignment="0" applyProtection="0"/>
    <xf numFmtId="0" fontId="30" fillId="0" borderId="9" applyNumberFormat="0" applyFill="0" applyAlignment="0" applyProtection="0"/>
    <xf numFmtId="0" fontId="31" fillId="0" borderId="0" applyNumberFormat="0" applyFill="0" applyBorder="0" applyAlignment="0" applyProtection="0"/>
  </cellStyleXfs>
  <cellXfs count="276">
    <xf numFmtId="0" fontId="0" fillId="0" borderId="0" xfId="0"/>
    <xf numFmtId="0" fontId="2" fillId="0" borderId="10" xfId="0" applyFont="1" applyBorder="1"/>
    <xf numFmtId="0" fontId="0" fillId="0" borderId="0" xfId="0" applyAlignment="1">
      <alignment horizontal="center"/>
    </xf>
    <xf numFmtId="0" fontId="3" fillId="0" borderId="0" xfId="0" applyFont="1" applyAlignment="1">
      <alignment horizontal="center"/>
    </xf>
    <xf numFmtId="0" fontId="0" fillId="0" borderId="0" xfId="0" applyAlignment="1">
      <alignment horizontal="left"/>
    </xf>
    <xf numFmtId="0" fontId="0" fillId="24" borderId="11" xfId="0" applyFill="1" applyBorder="1" applyAlignment="1" applyProtection="1">
      <alignment horizontal="center"/>
      <protection locked="0"/>
    </xf>
    <xf numFmtId="0" fontId="4" fillId="0" borderId="0" xfId="0" applyFont="1" applyAlignment="1" applyProtection="1">
      <alignment horizontal="center"/>
      <protection locked="0" hidden="1"/>
    </xf>
    <xf numFmtId="0" fontId="4" fillId="0" borderId="0" xfId="0" applyFont="1" applyAlignment="1" applyProtection="1">
      <alignment horizontal="center"/>
      <protection hidden="1"/>
    </xf>
    <xf numFmtId="0" fontId="4" fillId="0" borderId="0" xfId="0" applyFont="1" applyAlignment="1" applyProtection="1">
      <alignment horizontal="left"/>
      <protection hidden="1"/>
    </xf>
    <xf numFmtId="0" fontId="0" fillId="0" borderId="0" xfId="0" applyAlignment="1" applyProtection="1">
      <alignment horizontal="center"/>
      <protection locked="0"/>
    </xf>
    <xf numFmtId="1" fontId="0" fillId="24" borderId="11" xfId="0" applyNumberFormat="1" applyFill="1" applyBorder="1" applyAlignment="1">
      <alignment horizontal="center"/>
    </xf>
    <xf numFmtId="2" fontId="0" fillId="0" borderId="0" xfId="0" applyNumberFormat="1" applyAlignment="1" applyProtection="1">
      <alignment horizontal="left"/>
      <protection locked="0"/>
    </xf>
    <xf numFmtId="2" fontId="0" fillId="0" borderId="0" xfId="0" applyNumberFormat="1" applyAlignment="1" applyProtection="1">
      <alignment horizontal="center"/>
      <protection locked="0"/>
    </xf>
    <xf numFmtId="9" fontId="0" fillId="24" borderId="11" xfId="0" applyNumberFormat="1" applyFill="1" applyBorder="1" applyAlignment="1" applyProtection="1">
      <alignment horizontal="center"/>
      <protection locked="0"/>
    </xf>
    <xf numFmtId="2" fontId="0" fillId="24" borderId="11" xfId="0" applyNumberFormat="1" applyFill="1" applyBorder="1" applyAlignment="1" applyProtection="1">
      <alignment horizontal="center"/>
      <protection locked="0"/>
    </xf>
    <xf numFmtId="2" fontId="0" fillId="0" borderId="0" xfId="0" applyNumberFormat="1" applyAlignment="1">
      <alignment horizontal="center"/>
    </xf>
    <xf numFmtId="0" fontId="5" fillId="0" borderId="0" xfId="0" applyFont="1" applyAlignment="1">
      <alignment horizontal="left" wrapText="1"/>
    </xf>
    <xf numFmtId="0" fontId="5" fillId="0" borderId="0" xfId="0" applyFont="1" applyAlignment="1">
      <alignment wrapText="1"/>
    </xf>
    <xf numFmtId="0" fontId="6" fillId="0" borderId="0" xfId="0" applyFont="1" applyAlignment="1">
      <alignment horizontal="center" wrapText="1"/>
    </xf>
    <xf numFmtId="0" fontId="6" fillId="0" borderId="0" xfId="0" applyFont="1" applyAlignment="1">
      <alignment wrapText="1"/>
    </xf>
    <xf numFmtId="0" fontId="8" fillId="0" borderId="0" xfId="0" applyFont="1" applyAlignment="1">
      <alignment horizontal="left"/>
    </xf>
    <xf numFmtId="0" fontId="0" fillId="24" borderId="12" xfId="0" applyFill="1" applyBorder="1" applyAlignment="1">
      <alignment horizontal="center" wrapText="1"/>
    </xf>
    <xf numFmtId="0" fontId="0" fillId="25" borderId="13" xfId="0" applyFill="1" applyBorder="1" applyAlignment="1">
      <alignment horizontal="center" wrapText="1"/>
    </xf>
    <xf numFmtId="0" fontId="0" fillId="24" borderId="13" xfId="0" applyFill="1" applyBorder="1" applyAlignment="1">
      <alignment horizontal="center" wrapText="1"/>
    </xf>
    <xf numFmtId="0" fontId="0" fillId="24" borderId="13" xfId="0" applyFill="1" applyBorder="1" applyAlignment="1">
      <alignment horizontal="center" vertical="top" wrapText="1"/>
    </xf>
    <xf numFmtId="0" fontId="0" fillId="24" borderId="14" xfId="0" applyFill="1" applyBorder="1" applyAlignment="1">
      <alignment horizontal="center" wrapText="1"/>
    </xf>
    <xf numFmtId="0" fontId="0" fillId="0" borderId="0" xfId="0" applyAlignment="1">
      <alignment wrapText="1"/>
    </xf>
    <xf numFmtId="165" fontId="0" fillId="0" borderId="15" xfId="0" applyNumberFormat="1" applyBorder="1" applyAlignment="1" applyProtection="1">
      <alignment horizontal="center"/>
      <protection hidden="1"/>
    </xf>
    <xf numFmtId="2" fontId="0" fillId="0" borderId="15" xfId="0" applyNumberFormat="1" applyBorder="1" applyAlignment="1" applyProtection="1">
      <alignment horizontal="center"/>
      <protection hidden="1"/>
    </xf>
    <xf numFmtId="0" fontId="6" fillId="0" borderId="0" xfId="0" applyFont="1" applyAlignment="1" applyProtection="1">
      <alignment wrapText="1"/>
      <protection hidden="1"/>
    </xf>
    <xf numFmtId="2" fontId="0" fillId="0" borderId="0" xfId="0" applyNumberFormat="1" applyAlignment="1" applyProtection="1">
      <alignment horizontal="center"/>
      <protection hidden="1"/>
    </xf>
    <xf numFmtId="2" fontId="1" fillId="0" borderId="0" xfId="0" applyNumberFormat="1" applyFont="1" applyAlignment="1" applyProtection="1">
      <alignment horizontal="center"/>
      <protection hidden="1"/>
    </xf>
    <xf numFmtId="0" fontId="0" fillId="0" borderId="0" xfId="0" applyProtection="1">
      <protection hidden="1"/>
    </xf>
    <xf numFmtId="2" fontId="0" fillId="0" borderId="0" xfId="0" applyNumberFormat="1"/>
    <xf numFmtId="165" fontId="0" fillId="0" borderId="0" xfId="0" applyNumberFormat="1" applyAlignment="1" applyProtection="1">
      <alignment horizontal="center"/>
      <protection hidden="1"/>
    </xf>
    <xf numFmtId="0" fontId="0" fillId="0" borderId="0" xfId="0" applyAlignment="1" applyProtection="1">
      <alignment horizontal="center"/>
      <protection hidden="1"/>
    </xf>
    <xf numFmtId="1" fontId="0" fillId="0" borderId="0" xfId="0" applyNumberFormat="1" applyAlignment="1" applyProtection="1">
      <alignment horizontal="center"/>
      <protection hidden="1"/>
    </xf>
    <xf numFmtId="2" fontId="0" fillId="0" borderId="0" xfId="0" applyNumberFormat="1" applyProtection="1">
      <protection hidden="1"/>
    </xf>
    <xf numFmtId="0" fontId="0" fillId="0" borderId="0" xfId="0" applyAlignment="1" applyProtection="1">
      <alignment horizontal="left"/>
      <protection hidden="1"/>
    </xf>
    <xf numFmtId="0" fontId="3" fillId="0" borderId="0" xfId="0" applyFont="1" applyAlignment="1" applyProtection="1">
      <alignment horizontal="center"/>
      <protection locked="0"/>
    </xf>
    <xf numFmtId="0" fontId="3" fillId="0" borderId="0" xfId="0" applyFont="1" applyAlignment="1" applyProtection="1">
      <alignment horizontal="center"/>
      <protection hidden="1"/>
    </xf>
    <xf numFmtId="2" fontId="0" fillId="0" borderId="0" xfId="0" applyNumberFormat="1" applyAlignment="1" applyProtection="1">
      <alignment horizontal="left"/>
      <protection hidden="1"/>
    </xf>
    <xf numFmtId="1" fontId="0" fillId="0" borderId="0" xfId="0" applyNumberFormat="1" applyAlignment="1" applyProtection="1">
      <alignment horizontal="center"/>
      <protection locked="0"/>
    </xf>
    <xf numFmtId="0" fontId="5" fillId="0" borderId="0" xfId="0" applyFont="1" applyAlignment="1" applyProtection="1">
      <alignment horizontal="left" wrapText="1"/>
      <protection hidden="1"/>
    </xf>
    <xf numFmtId="0" fontId="5" fillId="0" borderId="0" xfId="0" applyFont="1" applyAlignment="1" applyProtection="1">
      <alignment wrapText="1"/>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horizontal="center" wrapText="1"/>
      <protection hidden="1"/>
    </xf>
    <xf numFmtId="0" fontId="7" fillId="0" borderId="10" xfId="0" applyFont="1" applyBorder="1" applyAlignment="1" applyProtection="1">
      <alignment horizontal="center"/>
      <protection hidden="1"/>
    </xf>
    <xf numFmtId="0" fontId="7" fillId="0" borderId="0" xfId="0" applyFont="1" applyAlignment="1" applyProtection="1">
      <alignment horizontal="center"/>
      <protection hidden="1"/>
    </xf>
    <xf numFmtId="0" fontId="0" fillId="26" borderId="18" xfId="0" applyFill="1" applyBorder="1" applyAlignment="1" applyProtection="1">
      <alignment horizontal="center" wrapText="1"/>
      <protection hidden="1"/>
    </xf>
    <xf numFmtId="0" fontId="0" fillId="0" borderId="0" xfId="0" applyAlignment="1" applyProtection="1">
      <alignment horizontal="center" wrapText="1"/>
      <protection hidden="1"/>
    </xf>
    <xf numFmtId="0" fontId="0" fillId="24" borderId="12" xfId="0" applyFill="1" applyBorder="1" applyAlignment="1" applyProtection="1">
      <alignment horizontal="center" wrapText="1"/>
      <protection hidden="1"/>
    </xf>
    <xf numFmtId="0" fontId="0" fillId="24" borderId="20" xfId="0" applyFill="1" applyBorder="1" applyAlignment="1" applyProtection="1">
      <alignment horizontal="center" wrapText="1"/>
      <protection hidden="1"/>
    </xf>
    <xf numFmtId="0" fontId="0" fillId="24" borderId="14" xfId="0" applyFill="1" applyBorder="1" applyAlignment="1" applyProtection="1">
      <alignment horizontal="center" wrapText="1"/>
      <protection hidden="1"/>
    </xf>
    <xf numFmtId="1" fontId="0" fillId="24" borderId="11" xfId="0" applyNumberFormat="1" applyFill="1" applyBorder="1" applyAlignment="1" applyProtection="1">
      <alignment horizontal="center"/>
      <protection locked="0"/>
    </xf>
    <xf numFmtId="0" fontId="0" fillId="0" borderId="0" xfId="0" applyAlignment="1" applyProtection="1">
      <alignment horizontal="center"/>
      <protection locked="0" hidden="1"/>
    </xf>
    <xf numFmtId="0" fontId="0" fillId="25" borderId="19" xfId="0" applyFill="1" applyBorder="1" applyAlignment="1" applyProtection="1">
      <alignment horizontal="center" wrapText="1"/>
      <protection hidden="1"/>
    </xf>
    <xf numFmtId="0" fontId="0" fillId="0" borderId="0" xfId="0" applyAlignment="1" applyProtection="1">
      <alignment wrapText="1"/>
      <protection hidden="1"/>
    </xf>
    <xf numFmtId="0" fontId="2" fillId="0" borderId="10" xfId="0" applyFont="1" applyBorder="1" applyAlignment="1" applyProtection="1">
      <alignment horizontal="left"/>
      <protection hidden="1"/>
    </xf>
    <xf numFmtId="0" fontId="2" fillId="0" borderId="0" xfId="0" applyFont="1" applyAlignment="1" applyProtection="1">
      <alignment horizontal="left"/>
      <protection hidden="1"/>
    </xf>
    <xf numFmtId="0" fontId="0" fillId="0" borderId="0" xfId="0" applyAlignment="1" applyProtection="1">
      <alignment horizontal="left" indent="2"/>
      <protection hidden="1"/>
    </xf>
    <xf numFmtId="0" fontId="0" fillId="0" borderId="0" xfId="0" applyAlignment="1" applyProtection="1">
      <alignment horizontal="right"/>
      <protection hidden="1"/>
    </xf>
    <xf numFmtId="0" fontId="4" fillId="0" borderId="0" xfId="0" applyFont="1" applyProtection="1">
      <protection hidden="1"/>
    </xf>
    <xf numFmtId="0" fontId="12" fillId="0" borderId="0" xfId="0" applyFont="1" applyProtection="1">
      <protection hidden="1"/>
    </xf>
    <xf numFmtId="0" fontId="12" fillId="0" borderId="0" xfId="0" applyFont="1" applyAlignment="1" applyProtection="1">
      <alignment horizontal="left"/>
      <protection hidden="1"/>
    </xf>
    <xf numFmtId="1" fontId="0" fillId="0" borderId="0" xfId="0" applyNumberFormat="1" applyAlignment="1" applyProtection="1">
      <alignment horizontal="center"/>
      <protection locked="0" hidden="1"/>
    </xf>
    <xf numFmtId="0" fontId="8" fillId="0" borderId="0" xfId="0" applyFont="1" applyAlignment="1" applyProtection="1">
      <alignment horizontal="center"/>
      <protection hidden="1"/>
    </xf>
    <xf numFmtId="1" fontId="0" fillId="0" borderId="0" xfId="0" applyNumberFormat="1" applyProtection="1">
      <protection hidden="1"/>
    </xf>
    <xf numFmtId="0" fontId="1" fillId="0" borderId="0" xfId="0" applyFont="1" applyAlignment="1" applyProtection="1">
      <alignment horizontal="left" indent="2"/>
      <protection hidden="1"/>
    </xf>
    <xf numFmtId="0" fontId="1" fillId="0" borderId="0" xfId="0" applyFont="1" applyAlignment="1" applyProtection="1">
      <alignment horizontal="center"/>
      <protection hidden="1"/>
    </xf>
    <xf numFmtId="0" fontId="13" fillId="0" borderId="25" xfId="0" applyFont="1" applyBorder="1" applyAlignment="1" applyProtection="1">
      <alignment horizontal="center" wrapText="1"/>
      <protection hidden="1"/>
    </xf>
    <xf numFmtId="0" fontId="13" fillId="0" borderId="0" xfId="0" applyFont="1" applyAlignment="1" applyProtection="1">
      <alignment horizontal="center" wrapText="1"/>
      <protection hidden="1"/>
    </xf>
    <xf numFmtId="0" fontId="1" fillId="24" borderId="11" xfId="0" applyFont="1" applyFill="1" applyBorder="1" applyAlignment="1" applyProtection="1">
      <alignment horizontal="center"/>
      <protection locked="0" hidden="1"/>
    </xf>
    <xf numFmtId="0" fontId="1" fillId="0" borderId="0" xfId="0" applyFont="1" applyAlignment="1" applyProtection="1">
      <alignment horizontal="center"/>
      <protection locked="0" hidden="1"/>
    </xf>
    <xf numFmtId="0" fontId="5" fillId="27" borderId="0" xfId="0" applyFont="1" applyFill="1" applyAlignment="1">
      <alignment horizontal="left" wrapText="1"/>
    </xf>
    <xf numFmtId="167" fontId="0" fillId="0" borderId="0" xfId="0" applyNumberFormat="1" applyAlignment="1" applyProtection="1">
      <alignment horizontal="center"/>
      <protection hidden="1"/>
    </xf>
    <xf numFmtId="0" fontId="5" fillId="28" borderId="0" xfId="0" applyFont="1" applyFill="1" applyAlignment="1" applyProtection="1">
      <alignment wrapText="1"/>
      <protection hidden="1"/>
    </xf>
    <xf numFmtId="0" fontId="5" fillId="28" borderId="0" xfId="0" applyFont="1" applyFill="1" applyAlignment="1" applyProtection="1">
      <alignment horizontal="left" wrapText="1"/>
      <protection hidden="1"/>
    </xf>
    <xf numFmtId="0" fontId="6" fillId="28" borderId="0" xfId="0" applyFont="1" applyFill="1" applyAlignment="1" applyProtection="1">
      <alignment wrapText="1"/>
      <protection hidden="1"/>
    </xf>
    <xf numFmtId="0" fontId="3" fillId="0" borderId="0" xfId="0" applyFont="1" applyAlignment="1" applyProtection="1">
      <alignment horizontal="left" wrapText="1"/>
      <protection hidden="1"/>
    </xf>
    <xf numFmtId="169" fontId="0" fillId="0" borderId="0" xfId="0" applyNumberFormat="1" applyAlignment="1" applyProtection="1">
      <alignment horizontal="center"/>
      <protection hidden="1"/>
    </xf>
    <xf numFmtId="0" fontId="0" fillId="25" borderId="21" xfId="0" applyFill="1" applyBorder="1" applyAlignment="1" applyProtection="1">
      <alignment horizontal="center" vertical="top" wrapText="1"/>
      <protection hidden="1"/>
    </xf>
    <xf numFmtId="0" fontId="6" fillId="0" borderId="0" xfId="0" applyFont="1" applyAlignment="1" applyProtection="1">
      <alignment horizontal="center"/>
      <protection hidden="1"/>
    </xf>
    <xf numFmtId="0" fontId="0" fillId="25" borderId="20" xfId="0" applyFill="1" applyBorder="1" applyAlignment="1" applyProtection="1">
      <alignment horizontal="center" wrapText="1"/>
      <protection hidden="1"/>
    </xf>
    <xf numFmtId="0" fontId="3" fillId="0" borderId="0" xfId="0" applyFont="1" applyProtection="1">
      <protection hidden="1"/>
    </xf>
    <xf numFmtId="169" fontId="0" fillId="0" borderId="0" xfId="0" applyNumberFormat="1" applyProtection="1">
      <protection hidden="1"/>
    </xf>
    <xf numFmtId="0" fontId="10" fillId="24" borderId="23" xfId="37" applyFill="1" applyBorder="1" applyAlignment="1" applyProtection="1">
      <alignment horizontal="center" wrapText="1"/>
      <protection hidden="1"/>
    </xf>
    <xf numFmtId="0" fontId="13" fillId="24" borderId="24" xfId="37" applyFont="1" applyFill="1" applyBorder="1" applyAlignment="1" applyProtection="1">
      <alignment horizontal="center" wrapText="1"/>
      <protection hidden="1"/>
    </xf>
    <xf numFmtId="167" fontId="0" fillId="0" borderId="0" xfId="0" applyNumberFormat="1" applyProtection="1">
      <protection hidden="1"/>
    </xf>
    <xf numFmtId="0" fontId="0" fillId="30" borderId="23" xfId="0" applyFill="1" applyBorder="1" applyAlignment="1" applyProtection="1">
      <alignment horizontal="center" wrapText="1"/>
      <protection hidden="1"/>
    </xf>
    <xf numFmtId="0" fontId="13" fillId="30" borderId="24" xfId="0" applyFont="1" applyFill="1" applyBorder="1" applyAlignment="1" applyProtection="1">
      <alignment horizontal="center" wrapText="1"/>
      <protection hidden="1"/>
    </xf>
    <xf numFmtId="0" fontId="0" fillId="32" borderId="11" xfId="0" applyFill="1" applyBorder="1" applyAlignment="1" applyProtection="1">
      <alignment horizontal="center"/>
      <protection locked="0" hidden="1"/>
    </xf>
    <xf numFmtId="1" fontId="0" fillId="32" borderId="11" xfId="0" applyNumberFormat="1" applyFill="1" applyBorder="1" applyAlignment="1" applyProtection="1">
      <alignment horizontal="center"/>
      <protection locked="0" hidden="1"/>
    </xf>
    <xf numFmtId="2" fontId="0" fillId="32" borderId="11" xfId="0" applyNumberFormat="1" applyFill="1" applyBorder="1" applyAlignment="1" applyProtection="1">
      <alignment horizontal="center"/>
      <protection locked="0" hidden="1"/>
    </xf>
    <xf numFmtId="0" fontId="12" fillId="32" borderId="11" xfId="0" applyFont="1" applyFill="1" applyBorder="1" applyAlignment="1" applyProtection="1">
      <alignment horizontal="center"/>
      <protection hidden="1"/>
    </xf>
    <xf numFmtId="0" fontId="0" fillId="0" borderId="0" xfId="0" applyProtection="1">
      <protection locked="0" hidden="1"/>
    </xf>
    <xf numFmtId="0" fontId="12" fillId="0" borderId="16" xfId="0" applyFont="1" applyBorder="1" applyProtection="1">
      <protection locked="0"/>
    </xf>
    <xf numFmtId="0" fontId="0" fillId="0" borderId="0" xfId="0" applyProtection="1">
      <protection locked="0"/>
    </xf>
    <xf numFmtId="0" fontId="1" fillId="0" borderId="0" xfId="0" applyFont="1"/>
    <xf numFmtId="1" fontId="0" fillId="0" borderId="0" xfId="0" applyNumberFormat="1"/>
    <xf numFmtId="0" fontId="1" fillId="25" borderId="13" xfId="0" applyFont="1" applyFill="1" applyBorder="1" applyAlignment="1" applyProtection="1">
      <alignment horizontal="center" wrapText="1"/>
      <protection hidden="1"/>
    </xf>
    <xf numFmtId="0" fontId="1" fillId="0" borderId="0" xfId="0" applyFont="1" applyProtection="1">
      <protection hidden="1"/>
    </xf>
    <xf numFmtId="0" fontId="1" fillId="0" borderId="0" xfId="0" applyFont="1" applyAlignment="1" applyProtection="1">
      <alignment horizontal="center" wrapText="1"/>
      <protection hidden="1"/>
    </xf>
    <xf numFmtId="2" fontId="0" fillId="33" borderId="0" xfId="0" applyNumberFormat="1" applyFill="1" applyAlignment="1" applyProtection="1">
      <alignment horizontal="center"/>
      <protection hidden="1"/>
    </xf>
    <xf numFmtId="2" fontId="0" fillId="34" borderId="0" xfId="0" applyNumberFormat="1" applyFill="1" applyAlignment="1" applyProtection="1">
      <alignment horizontal="center"/>
      <protection hidden="1"/>
    </xf>
    <xf numFmtId="0" fontId="1" fillId="32" borderId="11" xfId="0" applyFont="1" applyFill="1" applyBorder="1" applyAlignment="1" applyProtection="1">
      <alignment horizontal="center"/>
      <protection locked="0" hidden="1"/>
    </xf>
    <xf numFmtId="0" fontId="1" fillId="0" borderId="0" xfId="0" applyFont="1" applyProtection="1">
      <protection locked="0"/>
    </xf>
    <xf numFmtId="1" fontId="1" fillId="32" borderId="11" xfId="0" applyNumberFormat="1" applyFont="1" applyFill="1" applyBorder="1" applyAlignment="1" applyProtection="1">
      <alignment horizontal="center"/>
      <protection locked="0" hidden="1"/>
    </xf>
    <xf numFmtId="2" fontId="1" fillId="32" borderId="11" xfId="0" applyNumberFormat="1" applyFont="1" applyFill="1" applyBorder="1" applyAlignment="1" applyProtection="1">
      <alignment horizontal="center"/>
      <protection locked="0" hidden="1"/>
    </xf>
    <xf numFmtId="1" fontId="1" fillId="0" borderId="0" xfId="0" applyNumberFormat="1" applyFont="1" applyAlignment="1" applyProtection="1">
      <alignment horizontal="center"/>
      <protection locked="0" hidden="1"/>
    </xf>
    <xf numFmtId="0" fontId="1" fillId="30" borderId="23" xfId="0" applyFont="1" applyFill="1" applyBorder="1" applyAlignment="1" applyProtection="1">
      <alignment horizontal="center" wrapText="1"/>
      <protection hidden="1"/>
    </xf>
    <xf numFmtId="0" fontId="1" fillId="24" borderId="11" xfId="0" applyFont="1" applyFill="1" applyBorder="1" applyAlignment="1" applyProtection="1">
      <alignment horizontal="center"/>
      <protection locked="0"/>
    </xf>
    <xf numFmtId="2" fontId="1" fillId="0" borderId="0" xfId="0" applyNumberFormat="1" applyFont="1" applyProtection="1">
      <protection hidden="1"/>
    </xf>
    <xf numFmtId="0" fontId="3" fillId="0" borderId="0" xfId="0" applyFont="1" applyAlignment="1" applyProtection="1">
      <alignment horizontal="left"/>
      <protection hidden="1"/>
    </xf>
    <xf numFmtId="0" fontId="1" fillId="24" borderId="13" xfId="0" applyFont="1" applyFill="1" applyBorder="1" applyAlignment="1" applyProtection="1">
      <alignment horizontal="center" wrapText="1"/>
      <protection hidden="1"/>
    </xf>
    <xf numFmtId="0" fontId="1" fillId="24" borderId="17" xfId="0" applyFont="1" applyFill="1" applyBorder="1" applyAlignment="1" applyProtection="1">
      <alignment horizontal="center" wrapText="1"/>
      <protection hidden="1"/>
    </xf>
    <xf numFmtId="0" fontId="1" fillId="0" borderId="0" xfId="0" applyFont="1" applyAlignment="1">
      <alignment horizontal="center" wrapText="1"/>
    </xf>
    <xf numFmtId="0" fontId="3" fillId="0" borderId="0" xfId="0" applyFont="1" applyAlignment="1">
      <alignment horizontal="left"/>
    </xf>
    <xf numFmtId="0" fontId="1" fillId="24" borderId="13" xfId="0" applyFont="1" applyFill="1" applyBorder="1" applyAlignment="1">
      <alignment horizontal="center" wrapText="1"/>
    </xf>
    <xf numFmtId="0" fontId="1" fillId="24" borderId="19" xfId="0" applyFont="1" applyFill="1" applyBorder="1" applyAlignment="1" applyProtection="1">
      <alignment horizontal="center" wrapText="1"/>
      <protection hidden="1"/>
    </xf>
    <xf numFmtId="0" fontId="1" fillId="25" borderId="17" xfId="0" applyFont="1" applyFill="1" applyBorder="1" applyAlignment="1" applyProtection="1">
      <alignment horizontal="center" wrapText="1"/>
      <protection hidden="1"/>
    </xf>
    <xf numFmtId="0" fontId="1" fillId="24" borderId="20" xfId="0" applyFont="1" applyFill="1" applyBorder="1" applyAlignment="1" applyProtection="1">
      <alignment horizontal="center" wrapText="1"/>
      <protection hidden="1"/>
    </xf>
    <xf numFmtId="0" fontId="33" fillId="0" borderId="0" xfId="0" applyFont="1" applyAlignment="1">
      <alignment wrapText="1"/>
    </xf>
    <xf numFmtId="0" fontId="0" fillId="0" borderId="0" xfId="0" applyAlignment="1" applyProtection="1">
      <alignment horizontal="left" wrapText="1"/>
      <protection locked="0"/>
    </xf>
    <xf numFmtId="169" fontId="0" fillId="0" borderId="0" xfId="0" applyNumberFormat="1" applyAlignment="1">
      <alignment horizontal="center" vertical="center"/>
    </xf>
    <xf numFmtId="164" fontId="0" fillId="0" borderId="0" xfId="0" applyNumberFormat="1"/>
    <xf numFmtId="164" fontId="5" fillId="0" borderId="0" xfId="0" applyNumberFormat="1" applyFont="1" applyAlignment="1" applyProtection="1">
      <alignment horizontal="left" wrapText="1"/>
      <protection hidden="1"/>
    </xf>
    <xf numFmtId="0" fontId="0" fillId="0" borderId="0" xfId="0" applyAlignment="1">
      <alignment horizontal="right"/>
    </xf>
    <xf numFmtId="0" fontId="1" fillId="24" borderId="21" xfId="0" applyFont="1" applyFill="1" applyBorder="1" applyAlignment="1" applyProtection="1">
      <alignment horizontal="center" wrapText="1"/>
      <protection hidden="1"/>
    </xf>
    <xf numFmtId="0" fontId="33" fillId="0" borderId="0" xfId="0" applyFont="1" applyAlignment="1">
      <alignment horizontal="left" wrapText="1"/>
    </xf>
    <xf numFmtId="0" fontId="39" fillId="0" borderId="0" xfId="0" applyFont="1" applyProtection="1">
      <protection hidden="1"/>
    </xf>
    <xf numFmtId="0" fontId="0" fillId="29" borderId="0" xfId="0" applyFill="1" applyProtection="1">
      <protection hidden="1"/>
    </xf>
    <xf numFmtId="0" fontId="39" fillId="0" borderId="0" xfId="0" applyFont="1" applyAlignment="1">
      <alignment horizontal="left" wrapText="1"/>
    </xf>
    <xf numFmtId="167" fontId="1" fillId="0" borderId="27" xfId="0" applyNumberFormat="1" applyFont="1" applyBorder="1" applyProtection="1">
      <protection hidden="1"/>
    </xf>
    <xf numFmtId="167" fontId="0" fillId="0" borderId="30" xfId="0" applyNumberFormat="1" applyBorder="1" applyProtection="1">
      <protection hidden="1"/>
    </xf>
    <xf numFmtId="0" fontId="0" fillId="0" borderId="28" xfId="0" applyBorder="1" applyAlignment="1" applyProtection="1">
      <alignment horizontal="center"/>
      <protection hidden="1"/>
    </xf>
    <xf numFmtId="0" fontId="0" fillId="0" borderId="24" xfId="0" applyBorder="1" applyAlignment="1" applyProtection="1">
      <alignment horizontal="center"/>
      <protection hidden="1"/>
    </xf>
    <xf numFmtId="0" fontId="39" fillId="0" borderId="27" xfId="0" applyFont="1" applyBorder="1" applyAlignment="1">
      <alignment horizontal="left"/>
    </xf>
    <xf numFmtId="0" fontId="39" fillId="0" borderId="30" xfId="0" applyFont="1" applyBorder="1" applyAlignment="1">
      <alignment horizontal="left" wrapText="1"/>
    </xf>
    <xf numFmtId="0" fontId="39" fillId="0" borderId="11" xfId="0" applyFont="1" applyBorder="1" applyAlignment="1">
      <alignment horizontal="left" wrapText="1"/>
    </xf>
    <xf numFmtId="0" fontId="39" fillId="0" borderId="29" xfId="0" applyFont="1" applyBorder="1" applyAlignment="1">
      <alignment horizontal="center" wrapText="1"/>
    </xf>
    <xf numFmtId="0" fontId="39" fillId="0" borderId="25" xfId="0" applyFont="1" applyBorder="1" applyAlignment="1">
      <alignment horizontal="right" wrapText="1"/>
    </xf>
    <xf numFmtId="0" fontId="39" fillId="0" borderId="28" xfId="0" applyFont="1" applyBorder="1" applyAlignment="1">
      <alignment horizontal="center" wrapText="1"/>
    </xf>
    <xf numFmtId="0" fontId="39" fillId="0" borderId="28" xfId="0" applyFont="1" applyBorder="1" applyAlignment="1" applyProtection="1">
      <alignment horizontal="center"/>
      <protection hidden="1"/>
    </xf>
    <xf numFmtId="0" fontId="39" fillId="0" borderId="25" xfId="0" applyFont="1" applyBorder="1" applyAlignment="1">
      <alignment horizontal="right"/>
    </xf>
    <xf numFmtId="167" fontId="39" fillId="0" borderId="25" xfId="0" applyNumberFormat="1" applyFont="1" applyBorder="1" applyAlignment="1" applyProtection="1">
      <alignment horizontal="right"/>
      <protection hidden="1"/>
    </xf>
    <xf numFmtId="167" fontId="39" fillId="0" borderId="0" xfId="0" applyNumberFormat="1" applyFont="1" applyProtection="1">
      <protection hidden="1"/>
    </xf>
    <xf numFmtId="0" fontId="39" fillId="0" borderId="24" xfId="0" applyFont="1" applyBorder="1" applyAlignment="1" applyProtection="1">
      <alignment horizontal="center"/>
      <protection hidden="1"/>
    </xf>
    <xf numFmtId="167" fontId="39" fillId="0" borderId="27" xfId="0" applyNumberFormat="1" applyFont="1" applyBorder="1" applyProtection="1">
      <protection hidden="1"/>
    </xf>
    <xf numFmtId="167" fontId="39" fillId="0" borderId="30" xfId="0" applyNumberFormat="1" applyFont="1" applyBorder="1" applyProtection="1">
      <protection hidden="1"/>
    </xf>
    <xf numFmtId="0" fontId="39" fillId="0" borderId="11" xfId="0" applyFont="1" applyBorder="1" applyAlignment="1">
      <alignment horizontal="left"/>
    </xf>
    <xf numFmtId="167" fontId="39" fillId="0" borderId="29" xfId="0" applyNumberFormat="1" applyFont="1" applyBorder="1" applyAlignment="1" applyProtection="1">
      <alignment horizontal="center"/>
      <protection hidden="1"/>
    </xf>
    <xf numFmtId="167" fontId="39" fillId="0" borderId="28" xfId="0" applyNumberFormat="1" applyFont="1" applyBorder="1" applyAlignment="1" applyProtection="1">
      <alignment horizontal="center"/>
      <protection hidden="1"/>
    </xf>
    <xf numFmtId="167" fontId="0" fillId="0" borderId="28" xfId="0" applyNumberFormat="1" applyBorder="1" applyAlignment="1" applyProtection="1">
      <alignment horizontal="center"/>
      <protection hidden="1"/>
    </xf>
    <xf numFmtId="167" fontId="0" fillId="0" borderId="29" xfId="0" applyNumberFormat="1" applyBorder="1" applyAlignment="1" applyProtection="1">
      <alignment horizontal="center"/>
      <protection hidden="1"/>
    </xf>
    <xf numFmtId="0" fontId="1" fillId="35" borderId="11" xfId="0" applyFont="1" applyFill="1" applyBorder="1" applyAlignment="1" applyProtection="1">
      <alignment horizontal="center"/>
      <protection locked="0" hidden="1"/>
    </xf>
    <xf numFmtId="2" fontId="0" fillId="36" borderId="15" xfId="0" applyNumberFormat="1" applyFill="1" applyBorder="1" applyAlignment="1" applyProtection="1">
      <alignment horizontal="center"/>
      <protection hidden="1"/>
    </xf>
    <xf numFmtId="2" fontId="0" fillId="36" borderId="0" xfId="0" applyNumberFormat="1" applyFill="1" applyAlignment="1" applyProtection="1">
      <alignment horizontal="center"/>
      <protection hidden="1"/>
    </xf>
    <xf numFmtId="169" fontId="0" fillId="0" borderId="15" xfId="0" applyNumberFormat="1" applyBorder="1" applyAlignment="1" applyProtection="1">
      <alignment horizontal="center"/>
      <protection hidden="1"/>
    </xf>
    <xf numFmtId="165" fontId="0" fillId="36" borderId="0" xfId="0" applyNumberFormat="1" applyFill="1" applyAlignment="1" applyProtection="1">
      <alignment horizontal="center"/>
      <protection hidden="1"/>
    </xf>
    <xf numFmtId="0" fontId="0" fillId="36" borderId="0" xfId="0" applyFill="1"/>
    <xf numFmtId="0" fontId="33" fillId="0" borderId="0" xfId="0" applyFont="1" applyAlignment="1">
      <alignment horizontal="left" vertical="top" wrapText="1"/>
    </xf>
    <xf numFmtId="0" fontId="33" fillId="0" borderId="0" xfId="0" applyFont="1" applyAlignment="1" applyProtection="1">
      <alignment horizontal="left" vertical="top" wrapText="1"/>
      <protection hidden="1"/>
    </xf>
    <xf numFmtId="0" fontId="40" fillId="0" borderId="0" xfId="0" applyFont="1" applyAlignment="1">
      <alignment horizontal="left" wrapText="1"/>
    </xf>
    <xf numFmtId="0" fontId="33" fillId="0" borderId="0" xfId="0" applyFont="1" applyAlignment="1" applyProtection="1">
      <alignment vertical="top" wrapText="1"/>
      <protection hidden="1"/>
    </xf>
    <xf numFmtId="0" fontId="40" fillId="0" borderId="0" xfId="0" applyFont="1" applyAlignment="1">
      <alignment horizontal="right" wrapText="1"/>
    </xf>
    <xf numFmtId="0" fontId="1" fillId="0" borderId="0" xfId="0" applyFont="1" applyAlignment="1">
      <alignment horizontal="left"/>
    </xf>
    <xf numFmtId="0" fontId="13" fillId="0" borderId="0" xfId="0" applyFont="1"/>
    <xf numFmtId="0" fontId="1" fillId="0" borderId="0" xfId="0" applyFont="1" applyAlignment="1">
      <alignment horizontal="center"/>
    </xf>
    <xf numFmtId="14" fontId="1" fillId="0" borderId="0" xfId="0" applyNumberFormat="1" applyFont="1" applyAlignment="1">
      <alignment horizontal="center"/>
    </xf>
    <xf numFmtId="0" fontId="20" fillId="0" borderId="0" xfId="28" applyAlignment="1" applyProtection="1">
      <alignment horizontal="right"/>
      <protection hidden="1"/>
    </xf>
    <xf numFmtId="2" fontId="1" fillId="36" borderId="0" xfId="0" applyNumberFormat="1" applyFont="1" applyFill="1" applyAlignment="1" applyProtection="1">
      <alignment horizontal="center"/>
      <protection hidden="1"/>
    </xf>
    <xf numFmtId="0" fontId="0" fillId="36" borderId="0" xfId="0" applyFill="1" applyAlignment="1">
      <alignment horizontal="center"/>
    </xf>
    <xf numFmtId="0" fontId="1" fillId="0" borderId="0" xfId="0" applyFont="1" applyAlignment="1">
      <alignment horizontal="left" wrapText="1"/>
    </xf>
    <xf numFmtId="169" fontId="0" fillId="36" borderId="0" xfId="0" applyNumberFormat="1" applyFill="1" applyAlignment="1" applyProtection="1">
      <alignment horizontal="center"/>
      <protection hidden="1"/>
    </xf>
    <xf numFmtId="167" fontId="41" fillId="0" borderId="0" xfId="0" applyNumberFormat="1" applyFont="1" applyProtection="1">
      <protection hidden="1"/>
    </xf>
    <xf numFmtId="0" fontId="1" fillId="0" borderId="0" xfId="0" applyFont="1" applyAlignment="1">
      <alignment horizontal="left" vertical="top"/>
    </xf>
    <xf numFmtId="0" fontId="1" fillId="0" borderId="0" xfId="0" applyFont="1" applyAlignment="1" applyProtection="1">
      <alignment horizontal="left" vertical="top"/>
      <protection hidden="1"/>
    </xf>
    <xf numFmtId="167" fontId="42" fillId="0" borderId="25" xfId="0" applyNumberFormat="1" applyFont="1" applyBorder="1" applyAlignment="1" applyProtection="1">
      <alignment horizontal="right"/>
      <protection hidden="1"/>
    </xf>
    <xf numFmtId="0" fontId="39" fillId="0" borderId="0" xfId="0" applyFont="1" applyAlignment="1">
      <alignment horizontal="right"/>
    </xf>
    <xf numFmtId="0" fontId="39" fillId="0" borderId="0" xfId="0" applyFont="1" applyAlignment="1">
      <alignment horizontal="right" wrapText="1"/>
    </xf>
    <xf numFmtId="167" fontId="42" fillId="0" borderId="0" xfId="0" applyNumberFormat="1" applyFont="1" applyAlignment="1" applyProtection="1">
      <alignment horizontal="right"/>
      <protection hidden="1"/>
    </xf>
    <xf numFmtId="167" fontId="39" fillId="0" borderId="0" xfId="0" applyNumberFormat="1" applyFont="1" applyAlignment="1" applyProtection="1">
      <alignment horizontal="right"/>
      <protection hidden="1"/>
    </xf>
    <xf numFmtId="2" fontId="39" fillId="35" borderId="32" xfId="0" applyNumberFormat="1" applyFont="1" applyFill="1" applyBorder="1" applyAlignment="1" applyProtection="1">
      <alignment horizontal="left" wrapText="1"/>
      <protection locked="0"/>
    </xf>
    <xf numFmtId="2" fontId="39" fillId="0" borderId="34" xfId="0" applyNumberFormat="1" applyFont="1" applyBorder="1" applyAlignment="1">
      <alignment horizontal="left" wrapText="1"/>
    </xf>
    <xf numFmtId="2" fontId="0" fillId="0" borderId="34" xfId="0" applyNumberFormat="1" applyBorder="1" applyAlignment="1" applyProtection="1">
      <alignment horizontal="left"/>
      <protection hidden="1"/>
    </xf>
    <xf numFmtId="0" fontId="0" fillId="0" borderId="33" xfId="0" applyBorder="1" applyProtection="1">
      <protection hidden="1"/>
    </xf>
    <xf numFmtId="0" fontId="0" fillId="0" borderId="34" xfId="0" applyBorder="1" applyProtection="1">
      <protection hidden="1"/>
    </xf>
    <xf numFmtId="2" fontId="39" fillId="35" borderId="35" xfId="0" applyNumberFormat="1" applyFont="1" applyFill="1" applyBorder="1" applyAlignment="1" applyProtection="1">
      <alignment horizontal="left"/>
      <protection locked="0" hidden="1"/>
    </xf>
    <xf numFmtId="2" fontId="0" fillId="0" borderId="36" xfId="0" applyNumberFormat="1" applyBorder="1" applyAlignment="1" applyProtection="1">
      <alignment horizontal="left"/>
      <protection hidden="1"/>
    </xf>
    <xf numFmtId="2" fontId="39" fillId="0" borderId="34" xfId="0" applyNumberFormat="1" applyFont="1" applyBorder="1" applyAlignment="1" applyProtection="1">
      <alignment horizontal="left"/>
      <protection hidden="1"/>
    </xf>
    <xf numFmtId="0" fontId="0" fillId="0" borderId="37" xfId="0" applyBorder="1" applyProtection="1">
      <protection hidden="1"/>
    </xf>
    <xf numFmtId="0" fontId="42" fillId="0" borderId="15" xfId="0" applyFont="1" applyBorder="1" applyAlignment="1">
      <alignment horizontal="right" wrapText="1"/>
    </xf>
    <xf numFmtId="0" fontId="1" fillId="35" borderId="38" xfId="0" applyFont="1" applyFill="1" applyBorder="1" applyAlignment="1" applyProtection="1">
      <alignment horizontal="center" vertical="top" wrapText="1"/>
      <protection locked="0"/>
      <extLst>
        <ext xmlns:xfpb="http://schemas.microsoft.com/office/spreadsheetml/2022/featurepropertybag" uri="{C7286773-470A-42A8-94C5-96B5CB345126}">
          <xfpb:xfComplement i="0"/>
        </ext>
      </extLst>
    </xf>
    <xf numFmtId="0" fontId="1" fillId="0" borderId="39" xfId="0" applyFont="1" applyBorder="1" applyAlignment="1">
      <alignment horizontal="center" vertical="top" wrapText="1"/>
    </xf>
    <xf numFmtId="0" fontId="0" fillId="0" borderId="39" xfId="0" applyBorder="1" applyProtection="1">
      <protection hidden="1"/>
    </xf>
    <xf numFmtId="0" fontId="1" fillId="35" borderId="40" xfId="0" applyFont="1" applyFill="1" applyBorder="1" applyAlignment="1" applyProtection="1">
      <alignment horizontal="center" vertical="top" wrapText="1"/>
      <protection locked="0"/>
      <extLst>
        <ext xmlns:xfpb="http://schemas.microsoft.com/office/spreadsheetml/2022/featurepropertybag" uri="{C7286773-470A-42A8-94C5-96B5CB345126}">
          <xfpb:xfComplement i="0"/>
        </ext>
      </extLst>
    </xf>
    <xf numFmtId="167" fontId="39" fillId="0" borderId="10" xfId="0" applyNumberFormat="1" applyFont="1" applyBorder="1" applyAlignment="1" applyProtection="1">
      <alignment horizontal="right"/>
      <protection hidden="1"/>
    </xf>
    <xf numFmtId="0" fontId="1" fillId="0" borderId="37" xfId="0" applyFont="1" applyBorder="1" applyAlignment="1">
      <alignment horizontal="center" vertical="top" wrapText="1"/>
    </xf>
    <xf numFmtId="0" fontId="0" fillId="0" borderId="15" xfId="0" applyBorder="1" applyProtection="1">
      <protection hidden="1"/>
    </xf>
    <xf numFmtId="167" fontId="42" fillId="0" borderId="15" xfId="0" applyNumberFormat="1" applyFont="1" applyBorder="1" applyAlignment="1" applyProtection="1">
      <alignment horizontal="right"/>
      <protection hidden="1"/>
    </xf>
    <xf numFmtId="2" fontId="39" fillId="35" borderId="32" xfId="0" applyNumberFormat="1" applyFont="1" applyFill="1" applyBorder="1" applyAlignment="1" applyProtection="1">
      <alignment horizontal="left"/>
      <protection locked="0" hidden="1"/>
    </xf>
    <xf numFmtId="167" fontId="42" fillId="0" borderId="41" xfId="0" applyNumberFormat="1" applyFont="1" applyBorder="1" applyAlignment="1" applyProtection="1">
      <alignment horizontal="right"/>
      <protection hidden="1"/>
    </xf>
    <xf numFmtId="0" fontId="1" fillId="0" borderId="39" xfId="0" applyFont="1" applyBorder="1" applyAlignment="1">
      <alignment horizontal="center"/>
    </xf>
    <xf numFmtId="0" fontId="1" fillId="35" borderId="40"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167" fontId="39" fillId="0" borderId="42" xfId="0" applyNumberFormat="1" applyFont="1" applyBorder="1" applyAlignment="1" applyProtection="1">
      <alignment horizontal="right"/>
      <protection hidden="1"/>
    </xf>
    <xf numFmtId="0" fontId="0" fillId="0" borderId="31" xfId="0" applyBorder="1" applyProtection="1">
      <protection hidden="1"/>
    </xf>
    <xf numFmtId="169" fontId="39" fillId="35" borderId="32" xfId="0" applyNumberFormat="1" applyFont="1" applyFill="1" applyBorder="1" applyAlignment="1" applyProtection="1">
      <alignment horizontal="left" wrapText="1"/>
      <protection locked="0"/>
    </xf>
    <xf numFmtId="2" fontId="39" fillId="0" borderId="43" xfId="0" applyNumberFormat="1" applyFont="1" applyBorder="1" applyAlignment="1">
      <alignment horizontal="left" wrapText="1"/>
    </xf>
    <xf numFmtId="169" fontId="39" fillId="35" borderId="35" xfId="0" applyNumberFormat="1" applyFont="1" applyFill="1" applyBorder="1" applyAlignment="1" applyProtection="1">
      <alignment horizontal="left"/>
      <protection locked="0" hidden="1"/>
    </xf>
    <xf numFmtId="0" fontId="42" fillId="0" borderId="44" xfId="0" applyFont="1" applyBorder="1" applyAlignment="1">
      <alignment horizontal="right" wrapText="1"/>
    </xf>
    <xf numFmtId="0" fontId="1" fillId="0" borderId="15" xfId="0" applyFont="1" applyBorder="1" applyAlignment="1">
      <alignment horizontal="center" vertical="top" wrapText="1"/>
    </xf>
    <xf numFmtId="0" fontId="1" fillId="0" borderId="0" xfId="0" applyFont="1" applyAlignment="1" applyProtection="1">
      <alignment horizontal="right"/>
      <protection hidden="1"/>
    </xf>
    <xf numFmtId="0" fontId="0" fillId="35" borderId="11" xfId="0" applyFill="1" applyBorder="1" applyProtection="1">
      <protection locked="0" hidden="1"/>
      <extLst>
        <ext xmlns:xfpb="http://schemas.microsoft.com/office/spreadsheetml/2022/featurepropertybag" uri="{C7286773-470A-42A8-94C5-96B5CB345126}">
          <xfpb:xfComplement i="0"/>
        </ext>
      </extLst>
    </xf>
    <xf numFmtId="0" fontId="1" fillId="0" borderId="0" xfId="0" applyFont="1" applyAlignment="1">
      <alignment horizontal="right" wrapText="1"/>
    </xf>
    <xf numFmtId="167" fontId="39" fillId="0" borderId="0" xfId="0" applyNumberFormat="1" applyFont="1" applyAlignment="1">
      <alignment horizontal="left" wrapText="1"/>
    </xf>
    <xf numFmtId="167" fontId="33" fillId="0" borderId="0" xfId="0" applyNumberFormat="1" applyFont="1" applyAlignment="1">
      <alignment wrapText="1"/>
    </xf>
    <xf numFmtId="167" fontId="1" fillId="0" borderId="0" xfId="0" applyNumberFormat="1" applyFont="1" applyProtection="1">
      <protection hidden="1"/>
    </xf>
    <xf numFmtId="167" fontId="1" fillId="0" borderId="11" xfId="0" applyNumberFormat="1" applyFont="1" applyBorder="1" applyProtection="1">
      <protection hidden="1"/>
    </xf>
    <xf numFmtId="0" fontId="20" fillId="0" borderId="15" xfId="28" applyBorder="1" applyAlignment="1" applyProtection="1">
      <alignment horizontal="right"/>
      <protection hidden="1"/>
    </xf>
    <xf numFmtId="0" fontId="0" fillId="0" borderId="29" xfId="0" applyBorder="1" applyProtection="1">
      <protection hidden="1"/>
    </xf>
    <xf numFmtId="0" fontId="1" fillId="0" borderId="45" xfId="0" applyFont="1" applyBorder="1" applyAlignment="1" applyProtection="1">
      <alignment horizontal="right"/>
      <protection hidden="1"/>
    </xf>
    <xf numFmtId="0" fontId="0" fillId="0" borderId="28" xfId="0" applyBorder="1" applyProtection="1">
      <protection hidden="1"/>
    </xf>
    <xf numFmtId="0" fontId="0" fillId="0" borderId="46" xfId="0" applyBorder="1" applyAlignment="1" applyProtection="1">
      <alignment horizontal="left"/>
      <protection hidden="1"/>
    </xf>
    <xf numFmtId="2" fontId="0" fillId="0" borderId="46" xfId="0" applyNumberFormat="1" applyBorder="1" applyAlignment="1" applyProtection="1">
      <alignment horizontal="left"/>
      <protection hidden="1"/>
    </xf>
    <xf numFmtId="0" fontId="1" fillId="0" borderId="47" xfId="0" applyFont="1" applyBorder="1" applyAlignment="1" applyProtection="1">
      <alignment horizontal="right"/>
      <protection hidden="1"/>
    </xf>
    <xf numFmtId="0" fontId="0" fillId="0" borderId="48" xfId="0" applyBorder="1" applyAlignment="1" applyProtection="1">
      <alignment horizontal="left"/>
      <protection hidden="1"/>
    </xf>
    <xf numFmtId="2" fontId="0" fillId="0" borderId="48" xfId="0" applyNumberFormat="1" applyBorder="1" applyAlignment="1" applyProtection="1">
      <alignment horizontal="left"/>
      <protection hidden="1"/>
    </xf>
    <xf numFmtId="167" fontId="0" fillId="35" borderId="11" xfId="0" applyNumberFormat="1" applyFill="1" applyBorder="1" applyProtection="1">
      <protection locked="0" hidden="1"/>
      <extLst>
        <ext xmlns:xfpb="http://schemas.microsoft.com/office/spreadsheetml/2022/featurepropertybag" uri="{C7286773-470A-42A8-94C5-96B5CB345126}">
          <xfpb:xfComplement i="0"/>
        </ext>
      </extLst>
    </xf>
    <xf numFmtId="0" fontId="0" fillId="35" borderId="44" xfId="0" applyFill="1" applyBorder="1" applyProtection="1">
      <protection locked="0" hidden="1"/>
      <extLst>
        <ext xmlns:xfpb="http://schemas.microsoft.com/office/spreadsheetml/2022/featurepropertybag" uri="{C7286773-470A-42A8-94C5-96B5CB345126}">
          <xfpb:xfComplement i="0"/>
        </ext>
      </extLst>
    </xf>
    <xf numFmtId="0" fontId="0" fillId="0" borderId="24" xfId="0" applyBorder="1" applyProtection="1">
      <protection hidden="1"/>
    </xf>
    <xf numFmtId="0" fontId="1" fillId="0" borderId="49" xfId="0" applyFont="1" applyBorder="1" applyAlignment="1" applyProtection="1">
      <alignment horizontal="right"/>
      <protection hidden="1"/>
    </xf>
    <xf numFmtId="2" fontId="1" fillId="0" borderId="0" xfId="0" applyNumberFormat="1" applyFont="1" applyAlignment="1" applyProtection="1">
      <alignment horizontal="left"/>
      <protection hidden="1"/>
    </xf>
    <xf numFmtId="0" fontId="1" fillId="0" borderId="0" xfId="0" applyFont="1" applyAlignment="1" applyProtection="1">
      <alignment horizontal="left"/>
      <protection hidden="1"/>
    </xf>
    <xf numFmtId="2" fontId="41" fillId="0" borderId="46" xfId="0" applyNumberFormat="1" applyFont="1" applyBorder="1" applyProtection="1">
      <protection hidden="1"/>
    </xf>
    <xf numFmtId="0" fontId="41" fillId="0" borderId="46" xfId="0" applyFont="1" applyBorder="1" applyProtection="1">
      <protection hidden="1"/>
    </xf>
    <xf numFmtId="9" fontId="0" fillId="35" borderId="11" xfId="0" applyNumberFormat="1" applyFill="1" applyBorder="1" applyAlignment="1" applyProtection="1">
      <alignment horizontal="left"/>
      <protection locked="0" hidden="1"/>
    </xf>
    <xf numFmtId="0" fontId="33" fillId="0" borderId="0" xfId="0" applyFont="1" applyAlignment="1" applyProtection="1">
      <alignment horizontal="center" wrapText="1"/>
      <protection hidden="1"/>
    </xf>
    <xf numFmtId="49" fontId="2" fillId="0" borderId="10" xfId="0" applyNumberFormat="1" applyFont="1" applyBorder="1" applyAlignment="1" applyProtection="1">
      <alignment horizontal="center"/>
      <protection locked="0"/>
    </xf>
    <xf numFmtId="0" fontId="14" fillId="0" borderId="0" xfId="0" applyFont="1" applyAlignment="1" applyProtection="1">
      <alignment horizontal="left" wrapText="1"/>
      <protection hidden="1"/>
    </xf>
    <xf numFmtId="0" fontId="0" fillId="0" borderId="0" xfId="0"/>
    <xf numFmtId="168" fontId="4" fillId="0" borderId="0" xfId="0" applyNumberFormat="1" applyFont="1" applyAlignment="1" applyProtection="1">
      <alignment horizontal="left"/>
      <protection hidden="1"/>
    </xf>
    <xf numFmtId="0" fontId="33" fillId="0" borderId="0" xfId="0" applyFont="1" applyAlignment="1">
      <alignment horizontal="left" vertical="top" wrapText="1"/>
    </xf>
    <xf numFmtId="0" fontId="11" fillId="0" borderId="0" xfId="0" applyFont="1" applyAlignment="1" applyProtection="1">
      <alignment horizontal="center"/>
      <protection hidden="1"/>
    </xf>
    <xf numFmtId="0" fontId="11" fillId="0" borderId="0" xfId="0" applyFont="1" applyAlignment="1">
      <alignment horizontal="center"/>
    </xf>
    <xf numFmtId="0" fontId="11" fillId="31" borderId="27" xfId="0" applyFont="1" applyFill="1" applyBorder="1" applyAlignment="1" applyProtection="1">
      <alignment horizontal="left"/>
      <protection hidden="1"/>
    </xf>
    <xf numFmtId="0" fontId="11" fillId="31" borderId="26" xfId="0" applyFont="1" applyFill="1" applyBorder="1" applyAlignment="1" applyProtection="1">
      <alignment horizontal="left"/>
      <protection hidden="1"/>
    </xf>
    <xf numFmtId="0" fontId="11" fillId="31" borderId="22" xfId="0" applyFont="1" applyFill="1" applyBorder="1" applyAlignment="1" applyProtection="1">
      <alignment horizontal="left"/>
      <protection hidden="1"/>
    </xf>
    <xf numFmtId="1" fontId="34" fillId="0" borderId="0" xfId="0" applyNumberFormat="1" applyFont="1" applyAlignment="1" applyProtection="1">
      <alignment horizontal="center" wrapText="1"/>
      <protection hidden="1"/>
    </xf>
    <xf numFmtId="0" fontId="33" fillId="0" borderId="0" xfId="0" applyFont="1" applyAlignment="1" applyProtection="1">
      <alignment wrapText="1"/>
      <protection hidden="1"/>
    </xf>
    <xf numFmtId="0" fontId="33" fillId="0" borderId="0" xfId="0" applyFont="1" applyAlignment="1">
      <alignment wrapText="1"/>
    </xf>
    <xf numFmtId="0" fontId="2" fillId="0" borderId="0" xfId="0" applyFont="1" applyAlignment="1" applyProtection="1">
      <alignment horizontal="center"/>
      <protection hidden="1"/>
    </xf>
    <xf numFmtId="0" fontId="2" fillId="0" borderId="0" xfId="0" applyFont="1" applyAlignment="1">
      <alignment horizontal="center"/>
    </xf>
    <xf numFmtId="0" fontId="2" fillId="0" borderId="10" xfId="0" applyFont="1" applyBorder="1" applyAlignment="1" applyProtection="1">
      <alignment horizontal="center"/>
      <protection locked="0" hidden="1"/>
    </xf>
    <xf numFmtId="0" fontId="14" fillId="0" borderId="0" xfId="0" applyFont="1" applyAlignment="1" applyProtection="1">
      <alignment horizontal="left" vertical="top" wrapText="1"/>
      <protection locked="0" hidden="1"/>
    </xf>
    <xf numFmtId="0" fontId="13" fillId="0" borderId="0" xfId="0" applyFont="1" applyAlignment="1" applyProtection="1">
      <alignment horizontal="left" vertical="top" wrapText="1"/>
      <protection locked="0" hidden="1"/>
    </xf>
    <xf numFmtId="0" fontId="0" fillId="0" borderId="0" xfId="0" applyAlignment="1">
      <alignment wrapText="1"/>
    </xf>
    <xf numFmtId="170" fontId="6" fillId="0" borderId="0" xfId="0" applyNumberFormat="1" applyFont="1" applyAlignment="1" applyProtection="1">
      <alignment horizontal="left"/>
      <protection hidden="1"/>
    </xf>
    <xf numFmtId="170" fontId="0" fillId="0" borderId="0" xfId="0" applyNumberFormat="1"/>
    <xf numFmtId="0" fontId="34" fillId="0" borderId="0" xfId="0" applyFont="1" applyAlignment="1" applyProtection="1">
      <alignment horizontal="center" wrapText="1"/>
      <protection hidden="1"/>
    </xf>
    <xf numFmtId="0" fontId="33" fillId="0" borderId="0" xfId="0" applyFont="1" applyAlignment="1" applyProtection="1">
      <alignment horizontal="left" vertical="top" wrapText="1"/>
      <protection hidden="1"/>
    </xf>
    <xf numFmtId="0" fontId="7" fillId="0" borderId="10" xfId="0" applyFont="1" applyBorder="1" applyAlignment="1">
      <alignment horizontal="center"/>
    </xf>
    <xf numFmtId="0" fontId="0" fillId="0" borderId="10" xfId="0" applyBorder="1" applyAlignment="1">
      <alignment horizontal="center"/>
    </xf>
    <xf numFmtId="0" fontId="4" fillId="0" borderId="0" xfId="0" applyFont="1" applyAlignment="1" applyProtection="1">
      <alignment horizontal="center" wrapText="1"/>
      <protection locked="0" hidden="1"/>
    </xf>
    <xf numFmtId="0" fontId="4" fillId="0" borderId="0" xfId="0" applyFont="1" applyAlignment="1" applyProtection="1">
      <alignment horizontal="left"/>
      <protection hidden="1"/>
    </xf>
    <xf numFmtId="166" fontId="4" fillId="0" borderId="0" xfId="0" applyNumberFormat="1" applyFont="1" applyAlignment="1" applyProtection="1">
      <alignment horizontal="left"/>
      <protection locked="0" hidden="1"/>
    </xf>
    <xf numFmtId="0" fontId="5" fillId="0" borderId="0" xfId="0" applyFont="1" applyAlignment="1">
      <alignment horizontal="left" wrapText="1"/>
    </xf>
    <xf numFmtId="0" fontId="5" fillId="0" borderId="0" xfId="0" applyFont="1" applyAlignment="1">
      <alignment wrapText="1"/>
    </xf>
    <xf numFmtId="0" fontId="6" fillId="0" borderId="0" xfId="0" applyFont="1" applyAlignment="1">
      <alignment horizontal="left" wrapText="1"/>
    </xf>
    <xf numFmtId="0" fontId="0" fillId="0" borderId="0" xfId="0" applyAlignment="1">
      <alignment horizontal="left" wrapText="1"/>
    </xf>
    <xf numFmtId="0" fontId="0" fillId="0" borderId="10" xfId="0" applyBorder="1" applyAlignment="1" applyProtection="1">
      <alignment horizontal="center"/>
      <protection locked="0"/>
    </xf>
    <xf numFmtId="0" fontId="4" fillId="0" borderId="0" xfId="0" applyFont="1" applyAlignment="1" applyProtection="1">
      <alignment horizontal="center" wrapText="1"/>
      <protection hidden="1"/>
    </xf>
    <xf numFmtId="0" fontId="0" fillId="0" borderId="0" xfId="0" applyAlignment="1" applyProtection="1">
      <alignment horizontal="center" wrapText="1"/>
      <protection hidden="1"/>
    </xf>
    <xf numFmtId="3" fontId="4" fillId="0" borderId="0" xfId="0" applyNumberFormat="1" applyFont="1" applyAlignment="1" applyProtection="1">
      <alignment horizontal="center"/>
      <protection hidden="1"/>
    </xf>
    <xf numFmtId="0" fontId="0" fillId="0" borderId="0" xfId="0" applyFill="1" applyAlignment="1" applyProtection="1">
      <alignment horizontal="center"/>
      <protection hidden="1"/>
    </xf>
    <xf numFmtId="2" fontId="0" fillId="0" borderId="0" xfId="0" applyNumberFormat="1" applyFill="1" applyAlignment="1" applyProtection="1">
      <alignment horizontal="center"/>
      <protection hidden="1"/>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38" xr:uid="{00000000-0005-0000-0000-000026000000}"/>
    <cellStyle name="Note" xfId="39" builtinId="10" customBuiltin="1"/>
    <cellStyle name="Output" xfId="40" builtinId="21" customBuiltin="1"/>
    <cellStyle name="Title" xfId="41" builtinId="15" customBuiltin="1"/>
    <cellStyle name="Total" xfId="42" builtinId="25" customBuiltin="1"/>
    <cellStyle name="Warning Text" xfId="43" builtinId="11" customBuiltin="1"/>
  </cellStyles>
  <dxfs count="120">
    <dxf>
      <fill>
        <patternFill>
          <bgColor indexed="44"/>
        </patternFill>
      </fill>
      <border>
        <left style="thin">
          <color indexed="64"/>
        </left>
        <right style="thin">
          <color indexed="64"/>
        </right>
        <top style="thin">
          <color indexed="64"/>
        </top>
        <bottom style="thin">
          <color indexed="64"/>
        </bottom>
      </border>
    </dxf>
    <dxf>
      <fill>
        <patternFill>
          <bgColor indexed="44"/>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dxf>
    <dxf>
      <font>
        <color auto="1"/>
      </font>
    </dxf>
    <dxf>
      <font>
        <color auto="1"/>
      </font>
    </dxf>
    <dxf>
      <font>
        <color auto="1"/>
      </font>
    </dxf>
    <dxf>
      <font>
        <color auto="1"/>
      </font>
    </dxf>
    <dxf>
      <font>
        <color auto="1"/>
      </font>
    </dxf>
    <dxf>
      <fill>
        <patternFill>
          <bgColor rgb="FF98D700"/>
        </patternFill>
      </fill>
      <border>
        <right style="thin">
          <color auto="1"/>
        </right>
        <bottom style="thin">
          <color auto="1"/>
        </bottom>
        <vertical/>
        <horizontal/>
      </border>
    </dxf>
    <dxf>
      <fill>
        <patternFill>
          <bgColor rgb="FF97D700"/>
        </patternFill>
      </fill>
      <border>
        <right style="thin">
          <color auto="1"/>
        </right>
        <vertical/>
        <horizontal/>
      </border>
    </dxf>
    <dxf>
      <fill>
        <patternFill>
          <bgColor rgb="FF97D700"/>
        </patternFill>
      </fill>
      <border>
        <right style="thin">
          <color auto="1"/>
        </right>
        <bottom style="thin">
          <color auto="1"/>
        </bottom>
        <vertical/>
        <horizontal/>
      </border>
    </dxf>
    <dxf>
      <fill>
        <patternFill>
          <bgColor rgb="FF97D700"/>
        </patternFill>
      </fill>
      <border>
        <right style="thin">
          <color auto="1"/>
        </right>
        <vertical/>
        <horizontal/>
      </border>
    </dxf>
    <dxf>
      <fill>
        <patternFill>
          <bgColor rgb="FF97D700"/>
        </patternFill>
      </fill>
      <border>
        <right style="thin">
          <color auto="1"/>
        </right>
        <bottom style="thin">
          <color auto="1"/>
        </bottom>
        <vertical/>
        <horizontal/>
      </border>
    </dxf>
    <dxf>
      <fill>
        <patternFill>
          <bgColor rgb="FF97D700"/>
        </patternFill>
      </fill>
      <border>
        <right style="thin">
          <color auto="1"/>
        </right>
        <bottom/>
        <vertical/>
        <horizontal/>
      </border>
    </dxf>
    <dxf>
      <fill>
        <patternFill patternType="lightUp">
          <fgColor rgb="FF98D700"/>
          <bgColor auto="1"/>
        </patternFill>
      </fill>
      <border>
        <left style="thin">
          <color auto="1"/>
        </left>
        <right style="thin">
          <color auto="1"/>
        </right>
        <top style="thin">
          <color auto="1"/>
        </top>
        <bottom style="thin">
          <color auto="1"/>
        </bottom>
        <vertical/>
        <horizontal/>
      </border>
    </dxf>
    <dxf>
      <fill>
        <patternFill>
          <bgColor rgb="FF97D700"/>
        </patternFill>
      </fill>
      <border>
        <left style="thin">
          <color auto="1"/>
        </left>
        <right style="thin">
          <color auto="1"/>
        </right>
        <bottom style="thin">
          <color auto="1"/>
        </bottom>
        <vertical/>
        <horizontal/>
      </border>
    </dxf>
    <dxf>
      <fill>
        <patternFill>
          <bgColor rgb="FF97D700"/>
        </patternFill>
      </fill>
      <border>
        <left style="thin">
          <color auto="1"/>
        </left>
        <right style="thin">
          <color auto="1"/>
        </right>
        <top style="thin">
          <color auto="1"/>
        </top>
        <vertical/>
        <horizontal/>
      </border>
    </dxf>
    <dxf>
      <fill>
        <patternFill>
          <bgColor rgb="FF92D050"/>
        </patternFill>
      </fill>
    </dxf>
    <dxf>
      <fill>
        <patternFill>
          <bgColor rgb="FF92D050"/>
        </patternFill>
      </fill>
    </dxf>
    <dxf>
      <fill>
        <patternFill>
          <bgColor rgb="FF92D050"/>
        </patternFill>
      </fill>
    </dxf>
    <dxf>
      <fill>
        <patternFill>
          <bgColor rgb="FF97D700"/>
        </patternFill>
      </fill>
      <border>
        <right style="thin">
          <color auto="1"/>
        </right>
        <top style="thin">
          <color auto="1"/>
        </top>
        <vertical/>
        <horizontal/>
      </border>
    </dxf>
    <dxf>
      <fill>
        <patternFill patternType="lightUp">
          <fgColor rgb="FF98D700"/>
        </patternFill>
      </fill>
      <border>
        <right style="thin">
          <color auto="1"/>
        </right>
        <top style="thin">
          <color auto="1"/>
        </top>
        <bottom style="thin">
          <color auto="1"/>
        </bottom>
        <vertical/>
        <horizontal/>
      </border>
    </dxf>
    <dxf>
      <fill>
        <patternFill>
          <bgColor rgb="FF97D700"/>
        </patternFill>
      </fill>
      <border>
        <right style="thin">
          <color auto="1"/>
        </right>
        <bottom style="thin">
          <color auto="1"/>
        </bottom>
        <vertical/>
        <horizontal/>
      </border>
    </dxf>
    <dxf>
      <fill>
        <patternFill>
          <bgColor rgb="FFFFCC00"/>
        </patternFill>
      </fill>
      <border>
        <left style="thin">
          <color rgb="FF92D050"/>
        </left>
        <right style="thin">
          <color rgb="FF92D050"/>
        </right>
        <top style="thin">
          <color rgb="FF92D050"/>
        </top>
        <bottom style="thin">
          <color rgb="FF92D050"/>
        </bottom>
      </border>
    </dxf>
    <dxf>
      <fill>
        <patternFill>
          <bgColor rgb="FF97D700"/>
        </patternFill>
      </fill>
      <border>
        <right style="thin">
          <color auto="1"/>
        </right>
        <top style="thin">
          <color auto="1"/>
        </top>
        <bottom/>
        <vertical/>
        <horizontal/>
      </border>
    </dxf>
    <dxf>
      <fill>
        <patternFill patternType="lightUp">
          <fgColor rgb="FF98D700"/>
        </patternFill>
      </fill>
      <border>
        <left/>
        <top style="thin">
          <color auto="1"/>
        </top>
      </border>
    </dxf>
    <dxf>
      <fill>
        <patternFill>
          <bgColor rgb="FF92D050"/>
        </patternFill>
      </fill>
    </dxf>
    <dxf>
      <fill>
        <patternFill>
          <bgColor rgb="FF92D050"/>
        </patternFill>
      </fill>
    </dxf>
    <dxf>
      <fill>
        <patternFill>
          <bgColor rgb="FF92D050"/>
        </patternFill>
      </fill>
    </dxf>
    <dxf>
      <font>
        <condense val="0"/>
        <extend val="0"/>
        <color auto="1"/>
      </font>
    </dxf>
    <dxf>
      <font>
        <condense val="0"/>
        <extend val="0"/>
        <color auto="1"/>
      </font>
    </dxf>
    <dxf>
      <fill>
        <patternFill>
          <bgColor rgb="FFFFCC00"/>
        </patternFill>
      </fill>
      <border>
        <left style="thin">
          <color rgb="FF92D050"/>
        </left>
        <right style="thin">
          <color rgb="FF92D050"/>
        </right>
        <top style="thin">
          <color rgb="FF92D050"/>
        </top>
        <bottom style="thin">
          <color rgb="FF92D050"/>
        </bottom>
        <vertical/>
        <horizontal/>
      </border>
    </dxf>
    <dxf>
      <font>
        <b/>
        <i val="0"/>
        <condense val="0"/>
        <extend val="0"/>
        <color indexed="10"/>
      </font>
      <fill>
        <patternFill patternType="none">
          <bgColor indexed="65"/>
        </patternFill>
      </fill>
    </dxf>
    <dxf>
      <font>
        <b val="0"/>
        <i/>
        <condense val="0"/>
        <extend val="0"/>
        <color indexed="10"/>
      </font>
    </dxf>
    <dxf>
      <fill>
        <patternFill>
          <bgColor theme="6" tint="0.39994506668294322"/>
        </patternFill>
      </fill>
      <border>
        <left style="thin">
          <color auto="1"/>
        </left>
        <right style="thin">
          <color auto="1"/>
        </right>
        <top style="thin">
          <color auto="1"/>
        </top>
        <bottom style="thin">
          <color auto="1"/>
        </bottom>
        <vertical/>
        <horizontal/>
      </border>
    </dxf>
    <dxf>
      <font>
        <b/>
        <i val="0"/>
        <strike val="0"/>
        <color rgb="FFFF0000"/>
      </font>
      <fill>
        <patternFill>
          <bgColor rgb="FF99CC00"/>
        </patternFill>
      </fill>
      <border>
        <left style="thin">
          <color rgb="FFFF0000"/>
        </left>
        <right style="thin">
          <color rgb="FFFF0000"/>
        </right>
        <top style="thin">
          <color rgb="FFFF0000"/>
        </top>
        <bottom style="thin">
          <color rgb="FFFF0000"/>
        </bottom>
        <vertical/>
        <horizontal/>
      </border>
    </dxf>
    <dxf>
      <font>
        <b/>
        <i val="0"/>
        <strike val="0"/>
        <color rgb="FFFF0000"/>
      </font>
      <fill>
        <patternFill>
          <bgColor rgb="FF99CC00"/>
        </patternFill>
      </fill>
      <border>
        <left style="thin">
          <color rgb="FFFF0000"/>
        </left>
        <right style="thin">
          <color rgb="FFFF0000"/>
        </right>
        <top style="thin">
          <color rgb="FFFF0000"/>
        </top>
        <bottom style="thin">
          <color rgb="FFFF0000"/>
        </bottom>
        <vertical/>
        <horizontal/>
      </border>
    </dxf>
    <dxf>
      <font>
        <b/>
        <i val="0"/>
        <strike val="0"/>
        <color rgb="FFFF0000"/>
      </font>
      <fill>
        <patternFill>
          <bgColor rgb="FF99CC00"/>
        </patternFill>
      </fill>
      <border>
        <left style="thin">
          <color rgb="FFFF0000"/>
        </left>
        <right style="thin">
          <color rgb="FFFF0000"/>
        </right>
        <top style="thin">
          <color rgb="FFFF0000"/>
        </top>
        <bottom style="thin">
          <color rgb="FFFF0000"/>
        </bottom>
        <vertical/>
        <horizontal/>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ill>
        <patternFill>
          <bgColor theme="6" tint="0.39994506668294322"/>
        </patternFill>
      </fill>
      <border>
        <left style="thin">
          <color indexed="64"/>
        </left>
        <right style="thin">
          <color indexed="64"/>
        </right>
        <top style="thin">
          <color indexed="64"/>
        </top>
        <bottom style="thin">
          <color indexed="64"/>
        </bottom>
      </border>
    </dxf>
    <dxf>
      <font>
        <b val="0"/>
        <i/>
        <condense val="0"/>
        <extend val="0"/>
        <color indexed="10"/>
      </font>
    </dxf>
    <dxf>
      <font>
        <b/>
        <i val="0"/>
        <strike val="0"/>
        <color rgb="FFFF0000"/>
      </font>
      <fill>
        <patternFill patternType="none">
          <bgColor auto="1"/>
        </patternFill>
      </fill>
      <border>
        <left/>
        <right/>
        <top/>
        <bottom/>
        <vertical/>
        <horizontal/>
      </border>
    </dxf>
    <dxf>
      <font>
        <b/>
        <i val="0"/>
        <strike val="0"/>
        <color rgb="FFFF0000"/>
      </font>
      <fill>
        <patternFill patternType="none">
          <bgColor auto="1"/>
        </patternFill>
      </fill>
      <border>
        <left/>
        <right/>
        <top/>
        <bottom/>
        <vertical/>
        <horizontal/>
      </border>
    </dxf>
    <dxf>
      <font>
        <b/>
        <i val="0"/>
        <strike val="0"/>
        <color rgb="FFFF0000"/>
      </font>
      <fill>
        <patternFill patternType="none">
          <bgColor auto="1"/>
        </patternFill>
      </fill>
      <border>
        <left/>
        <right/>
        <top/>
        <bottom/>
        <vertical/>
        <horizontal/>
      </border>
    </dxf>
    <dxf>
      <border>
        <left/>
        <right/>
        <top/>
        <bottom/>
      </border>
    </dxf>
    <dxf>
      <font>
        <color theme="0"/>
      </font>
      <fill>
        <patternFill>
          <bgColor theme="0"/>
        </patternFill>
      </fill>
      <border>
        <left/>
        <right/>
        <top style="thin">
          <color auto="1"/>
        </top>
        <bottom/>
        <vertical/>
        <horizontal/>
      </border>
    </dxf>
    <dxf>
      <font>
        <b val="0"/>
        <i/>
        <color theme="0" tint="-0.34998626667073579"/>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1"/>
      </font>
    </dxf>
    <dxf>
      <font>
        <color auto="1"/>
      </font>
    </dxf>
    <dxf>
      <font>
        <color auto="1"/>
      </font>
    </dxf>
    <dxf>
      <font>
        <color auto="1"/>
      </font>
    </dxf>
    <dxf>
      <font>
        <color auto="1"/>
      </font>
    </dxf>
    <dxf>
      <font>
        <color auto="1"/>
      </font>
    </dxf>
    <dxf>
      <font>
        <color auto="1"/>
      </font>
    </dxf>
    <dxf>
      <fill>
        <patternFill>
          <bgColor rgb="FF97D700"/>
        </patternFill>
      </fill>
      <border>
        <right style="thin">
          <color auto="1"/>
        </right>
        <bottom style="thin">
          <color auto="1"/>
        </bottom>
        <vertical/>
        <horizontal/>
      </border>
    </dxf>
    <dxf>
      <fill>
        <patternFill>
          <bgColor rgb="FF97D700"/>
        </patternFill>
      </fill>
      <border>
        <right style="thin">
          <color auto="1"/>
        </right>
        <top style="thin">
          <color auto="1"/>
        </top>
        <vertical/>
        <horizontal/>
      </border>
    </dxf>
    <dxf>
      <fill>
        <patternFill patternType="lightUp">
          <fgColor rgb="FF97D700"/>
        </patternFill>
      </fill>
      <border>
        <left style="thin">
          <color auto="1"/>
        </left>
        <right style="thin">
          <color auto="1"/>
        </right>
        <top style="thin">
          <color auto="1"/>
        </top>
        <vertical/>
        <horizontal/>
      </border>
    </dxf>
    <dxf>
      <fill>
        <patternFill>
          <bgColor rgb="FF97D700"/>
        </patternFill>
      </fill>
      <border>
        <left style="thin">
          <color auto="1"/>
        </left>
        <right style="thin">
          <color auto="1"/>
        </right>
        <bottom style="thin">
          <color auto="1"/>
        </bottom>
        <vertical/>
        <horizontal/>
      </border>
    </dxf>
    <dxf>
      <fill>
        <patternFill>
          <bgColor rgb="FF97D700"/>
        </patternFill>
      </fill>
      <border>
        <left style="thin">
          <color auto="1"/>
        </left>
        <right style="thin">
          <color auto="1"/>
        </right>
        <top style="thin">
          <color auto="1"/>
        </top>
        <vertical/>
        <horizontal/>
      </border>
    </dxf>
    <dxf>
      <fill>
        <patternFill>
          <bgColor rgb="FF92D050"/>
        </patternFill>
      </fill>
    </dxf>
    <dxf>
      <fill>
        <patternFill>
          <bgColor rgb="FF92D050"/>
        </patternFill>
      </fill>
    </dxf>
    <dxf>
      <fill>
        <patternFill>
          <bgColor rgb="FF92D050"/>
        </patternFill>
      </fill>
    </dxf>
    <dxf>
      <fill>
        <patternFill>
          <bgColor rgb="FF92D050"/>
        </patternFill>
      </fill>
    </dxf>
    <dxf>
      <fill>
        <patternFill patternType="lightUp">
          <fgColor rgb="FF97D700"/>
        </patternFill>
      </fill>
      <border>
        <right style="thin">
          <color auto="1"/>
        </right>
        <top style="thin">
          <color auto="1"/>
        </top>
        <vertical/>
        <horizontal/>
      </border>
    </dxf>
    <dxf>
      <fill>
        <patternFill>
          <fgColor rgb="FF97D700"/>
          <bgColor rgb="FF97D700"/>
        </patternFill>
      </fill>
      <border>
        <left style="thin">
          <color auto="1"/>
        </left>
        <right style="thin">
          <color auto="1"/>
        </right>
        <bottom style="thin">
          <color auto="1"/>
        </bottom>
        <vertical/>
        <horizontal/>
      </border>
    </dxf>
    <dxf>
      <fill>
        <patternFill patternType="solid">
          <fgColor auto="1"/>
          <bgColor rgb="FF97D700"/>
        </patternFill>
      </fill>
      <border>
        <right style="thin">
          <color auto="1"/>
        </right>
        <top style="thin">
          <color auto="1"/>
        </top>
        <vertical/>
        <horizontal/>
      </border>
    </dxf>
    <dxf>
      <fill>
        <patternFill>
          <bgColor rgb="FFFFCC00"/>
        </patternFill>
      </fill>
      <border>
        <left style="thin">
          <color rgb="FF92D050"/>
        </left>
        <right style="thin">
          <color rgb="FF92D050"/>
        </right>
        <top style="thin">
          <color rgb="FF92D050"/>
        </top>
        <bottom style="thin">
          <color rgb="FF92D050"/>
        </bottom>
      </border>
    </dxf>
    <dxf>
      <fill>
        <patternFill patternType="lightUp">
          <fgColor rgb="FF97D700"/>
        </patternFill>
      </fill>
      <border>
        <left/>
        <right/>
        <top style="thin">
          <color auto="1"/>
        </top>
        <vertical/>
        <horizontal/>
      </border>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C00"/>
        </patternFill>
      </fill>
      <border>
        <left style="thin">
          <color rgb="FF92D050"/>
        </left>
        <right style="thin">
          <color rgb="FF92D050"/>
        </right>
        <top style="thin">
          <color rgb="FF92D050"/>
        </top>
        <bottom style="thin">
          <color rgb="FF92D050"/>
        </bottom>
      </border>
    </dxf>
    <dxf>
      <font>
        <b/>
        <i val="0"/>
        <condense val="0"/>
        <extend val="0"/>
        <color indexed="10"/>
      </font>
      <fill>
        <patternFill patternType="none">
          <bgColor indexed="65"/>
        </patternFill>
      </fill>
    </dxf>
    <dxf>
      <font>
        <b val="0"/>
        <i/>
        <condense val="0"/>
        <extend val="0"/>
        <color indexed="10"/>
      </font>
    </dxf>
    <dxf>
      <fill>
        <patternFill>
          <bgColor theme="6" tint="0.39994506668294322"/>
        </patternFill>
      </fill>
      <border>
        <left style="thin">
          <color auto="1"/>
        </left>
        <right style="thin">
          <color auto="1"/>
        </right>
        <top style="thin">
          <color auto="1"/>
        </top>
        <bottom style="thin">
          <color auto="1"/>
        </bottom>
        <vertical/>
        <horizontal/>
      </border>
    </dxf>
    <dxf>
      <font>
        <b/>
        <i val="0"/>
        <condense val="0"/>
        <extend val="0"/>
        <color indexed="10"/>
      </font>
      <fill>
        <patternFill patternType="none">
          <bgColor indexed="65"/>
        </patternFill>
      </fill>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ont>
        <b/>
        <i val="0"/>
        <condense val="0"/>
        <extend val="0"/>
        <color indexed="10"/>
      </font>
      <fill>
        <patternFill>
          <bgColor indexed="50"/>
        </patternFill>
      </fill>
      <border>
        <left style="thin">
          <color indexed="10"/>
        </left>
        <right style="thin">
          <color indexed="10"/>
        </right>
        <top style="thin">
          <color indexed="10"/>
        </top>
        <bottom style="thin">
          <color indexed="10"/>
        </bottom>
      </border>
    </dxf>
    <dxf>
      <fill>
        <patternFill>
          <bgColor theme="6" tint="0.39994506668294322"/>
        </patternFill>
      </fill>
      <border>
        <left style="thin">
          <color auto="1"/>
        </left>
        <right style="thin">
          <color auto="1"/>
        </right>
      </border>
    </dxf>
    <dxf>
      <border>
        <left style="thin">
          <color indexed="10"/>
        </left>
        <right style="thin">
          <color indexed="10"/>
        </right>
        <top style="thin">
          <color indexed="10"/>
        </top>
        <bottom style="thin">
          <color indexed="10"/>
        </bottom>
      </border>
    </dxf>
    <dxf>
      <border>
        <left style="thin">
          <color indexed="10"/>
        </left>
        <right style="thin">
          <color indexed="10"/>
        </right>
        <top style="thin">
          <color indexed="10"/>
        </top>
        <bottom style="thin">
          <color indexed="10"/>
        </bottom>
      </border>
    </dxf>
    <dxf>
      <font>
        <b val="0"/>
        <i/>
        <condense val="0"/>
        <extend val="0"/>
        <color indexed="10"/>
      </font>
    </dxf>
    <dxf>
      <font>
        <b/>
        <i val="0"/>
        <color rgb="FFFF0000"/>
      </font>
    </dxf>
    <dxf>
      <font>
        <b val="0"/>
        <i val="0"/>
        <strike val="0"/>
        <condense val="0"/>
        <extend val="0"/>
        <outline val="0"/>
        <shadow val="0"/>
        <u val="none"/>
        <vertAlign val="baseline"/>
        <sz val="10"/>
        <color auto="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dxf>
    <dxf>
      <numFmt numFmtId="0" formatCode="General"/>
    </dxf>
    <dxf>
      <numFmt numFmtId="0" formatCode="General"/>
    </dxf>
    <dxf>
      <numFmt numFmtId="0" formatCode="General"/>
    </dxf>
    <dxf>
      <font>
        <b val="0"/>
        <i val="0"/>
        <strike val="0"/>
        <condense val="0"/>
        <extend val="0"/>
        <outline val="0"/>
        <shadow val="0"/>
        <u val="none"/>
        <vertAlign val="baseline"/>
        <sz val="10"/>
        <color auto="1"/>
        <name val="Arial"/>
        <family val="2"/>
        <scheme val="none"/>
      </font>
    </dxf>
    <dxf>
      <numFmt numFmtId="0" formatCode="General"/>
    </dxf>
    <dxf>
      <numFmt numFmtId="0" formatCode="General"/>
    </dxf>
    <dxf>
      <numFmt numFmtId="0" formatCode="General"/>
    </dxf>
    <dxf>
      <protection locked="0" hidden="0"/>
    </dxf>
    <dxf>
      <font>
        <b val="0"/>
        <i val="0"/>
        <strike val="0"/>
        <condense val="0"/>
        <extend val="0"/>
        <outline val="0"/>
        <shadow val="0"/>
        <u val="none"/>
        <vertAlign val="baseline"/>
        <sz val="10"/>
        <color auto="1"/>
        <name val="Arial"/>
        <family val="2"/>
        <scheme val="none"/>
      </font>
    </dxf>
    <dxf>
      <numFmt numFmtId="164" formatCode="0.0"/>
    </dxf>
    <dxf>
      <numFmt numFmtId="0" formatCode="Genera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protection locked="0" hidden="0"/>
    </dxf>
    <dxf>
      <font>
        <b val="0"/>
        <i val="0"/>
        <strike val="0"/>
        <condense val="0"/>
        <extend val="0"/>
        <outline val="0"/>
        <shadow val="0"/>
        <u val="none"/>
        <vertAlign val="baseline"/>
        <sz val="10"/>
        <color auto="1"/>
        <name val="Arial"/>
        <family val="2"/>
        <scheme val="none"/>
      </font>
    </dxf>
  </dxfs>
  <tableStyles count="1" defaultTableStyle="Table Style 1" defaultPivotStyle="PivotStyleLight16">
    <tableStyle name="Table Style 1" pivot="0" count="0" xr9:uid="{75C0A01F-8319-49BB-9315-3E1297944ACC}"/>
  </tableStyles>
  <colors>
    <mruColors>
      <color rgb="FFC4D79B"/>
      <color rgb="FFCCFFCC"/>
      <color rgb="FF9DC800"/>
      <color rgb="FF99CC00"/>
      <color rgb="FF98D700"/>
      <color rgb="FF9DD800"/>
      <color rgb="FF97D700"/>
      <color rgb="FF97D7FF"/>
      <color rgb="FFFFCC00"/>
      <color rgb="FFF1B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Cumulative Volumes Imperial'!$AQ$17" lockText="1" noThreeD="1"/>
</file>

<file path=xl/ctrlProps/ctrlProp2.xml><?xml version="1.0" encoding="utf-8"?>
<formControlPr xmlns="http://schemas.microsoft.com/office/spreadsheetml/2009/9/main" objectType="CheckBox" fmlaLink="$AO$17" lockText="1" noThreeD="1"/>
</file>

<file path=xl/ctrlProps/ctrlProp3.xml><?xml version="1.0" encoding="utf-8"?>
<formControlPr xmlns="http://schemas.microsoft.com/office/spreadsheetml/2009/9/main" objectType="CheckBox" fmlaLink="$AO$19" lockText="1" noThreeD="1"/>
</file>

<file path=xl/ctrlProps/ctrlProp4.xml><?xml version="1.0" encoding="utf-8"?>
<formControlPr xmlns="http://schemas.microsoft.com/office/spreadsheetml/2009/9/main" objectType="CheckBox" checked="Checked" fmlaLink="'Cumulative Volumes Metric'!$AR$17" lockText="1" noThreeD="1"/>
</file>

<file path=xl/ctrlProps/ctrlProp5.xml><?xml version="1.0" encoding="utf-8"?>
<formControlPr xmlns="http://schemas.microsoft.com/office/spreadsheetml/2009/9/main" objectType="CheckBox" fmlaLink="$AP$17" lockText="1" noThreeD="1"/>
</file>

<file path=xl/ctrlProps/ctrlProp6.xml><?xml version="1.0" encoding="utf-8"?>
<formControlPr xmlns="http://schemas.microsoft.com/office/spreadsheetml/2009/9/main" objectType="CheckBox" fmlaLink="$AP$19" lockText="1" noThreeD="1"/>
</file>

<file path=xl/ctrlProps/ctrlProp7.xml><?xml version="1.0" encoding="utf-8"?>
<formControlPr xmlns="http://schemas.microsoft.com/office/spreadsheetml/2009/9/main" objectType="CheckBox" checked="Checked" fmlaLink="#REF!" lockText="1" noThreeD="1"/>
</file>

<file path=xl/ctrlProps/ctrlProp8.xml><?xml version="1.0" encoding="utf-8"?>
<formControlPr xmlns="http://schemas.microsoft.com/office/spreadsheetml/2009/9/main" objectType="CheckBox" checked="Checked" fmlaLink="#REF!"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Cumulative Volumes Metric'!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Cumulative Volumes Imperial'!A1"/></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38100</xdr:colOff>
          <xdr:row>0</xdr:row>
          <xdr:rowOff>104775</xdr:rowOff>
        </xdr:from>
        <xdr:to>
          <xdr:col>24</xdr:col>
          <xdr:colOff>923925</xdr:colOff>
          <xdr:row>1</xdr:row>
          <xdr:rowOff>190500</xdr:rowOff>
        </xdr:to>
        <xdr:sp macro="" textlink="">
          <xdr:nvSpPr>
            <xdr:cNvPr id="11267" name="Check Box 3" descr="Include Perimeter Stone in Calculations" hidden="1">
              <a:extLst>
                <a:ext uri="{63B3BB69-23CF-44E3-9099-C40C66FF867C}">
                  <a14:compatExt spid="_x0000_s11267"/>
                </a:ext>
                <a:ext uri="{FF2B5EF4-FFF2-40B4-BE49-F238E27FC236}">
                  <a16:creationId xmlns:a16="http://schemas.microsoft.com/office/drawing/2014/main" id="{00000000-0008-0000-0000-0000032C0000}"/>
                </a:ext>
              </a:extLst>
            </xdr:cNvPr>
            <xdr:cNvSpPr/>
          </xdr:nvSpPr>
          <xdr:spPr bwMode="auto">
            <a:xfrm>
              <a:off x="0" y="0"/>
              <a:ext cx="0" cy="0"/>
            </a:xfrm>
            <a:prstGeom prst="rect">
              <a:avLst/>
            </a:prstGeom>
            <a:solidFill>
              <a:srgbClr val="97D700">
                <a:alpha val="75000"/>
              </a:srgbClr>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Include Perimeter Stone in Calculations</a:t>
              </a:r>
            </a:p>
          </xdr:txBody>
        </xdr:sp>
        <xdr:clientData fLocksWithSheet="0"/>
      </xdr:twoCellAnchor>
    </mc:Choice>
    <mc:Fallback/>
  </mc:AlternateContent>
  <xdr:twoCellAnchor>
    <xdr:from>
      <xdr:col>22</xdr:col>
      <xdr:colOff>38100</xdr:colOff>
      <xdr:row>6</xdr:row>
      <xdr:rowOff>57149</xdr:rowOff>
    </xdr:from>
    <xdr:to>
      <xdr:col>24</xdr:col>
      <xdr:colOff>333376</xdr:colOff>
      <xdr:row>8</xdr:row>
      <xdr:rowOff>28575</xdr:rowOff>
    </xdr:to>
    <xdr:sp macro="" textlink="">
      <xdr:nvSpPr>
        <xdr:cNvPr id="11273" name="Text Box 9">
          <a:hlinkClick xmlns:r="http://schemas.openxmlformats.org/officeDocument/2006/relationships" r:id="rId1"/>
          <a:extLst>
            <a:ext uri="{FF2B5EF4-FFF2-40B4-BE49-F238E27FC236}">
              <a16:creationId xmlns:a16="http://schemas.microsoft.com/office/drawing/2014/main" id="{00000000-0008-0000-0000-0000092C0000}"/>
            </a:ext>
          </a:extLst>
        </xdr:cNvPr>
        <xdr:cNvSpPr txBox="1">
          <a:spLocks noChangeArrowheads="1"/>
        </xdr:cNvSpPr>
      </xdr:nvSpPr>
      <xdr:spPr bwMode="auto">
        <a:xfrm>
          <a:off x="8239125" y="1219199"/>
          <a:ext cx="1647826" cy="295276"/>
        </a:xfrm>
        <a:prstGeom prst="rect">
          <a:avLst/>
        </a:prstGeom>
        <a:solidFill>
          <a:srgbClr val="97D700">
            <a:alpha val="75000"/>
          </a:srgbClr>
        </a:solidFill>
        <a:ln w="38100" cmpd="thickThin">
          <a:solidFill>
            <a:schemeClr val="bg1">
              <a:lumMod val="65000"/>
              <a:alpha val="75000"/>
            </a:schemeClr>
          </a:solidFill>
          <a:bevel/>
          <a:headEnd/>
          <a:tailEnd/>
        </a:ln>
      </xdr:spPr>
      <xdr:txBody>
        <a:bodyPr vertOverflow="clip" wrap="square" lIns="27432" tIns="18288" rIns="27432" bIns="18288" anchor="ctr" upright="1"/>
        <a:lstStyle/>
        <a:p>
          <a:pPr algn="ctr" rtl="0">
            <a:defRPr sz="1000"/>
          </a:pPr>
          <a:r>
            <a:rPr lang="en-US" sz="1050" b="0" i="0" u="none" strike="noStrike" baseline="0">
              <a:solidFill>
                <a:srgbClr val="000000"/>
              </a:solidFill>
              <a:latin typeface="Arial"/>
              <a:cs typeface="Arial"/>
            </a:rPr>
            <a:t>Click Here for Metric</a:t>
          </a:r>
          <a:endParaRPr lang="en-US" sz="1400"/>
        </a:p>
      </xdr:txBody>
    </xdr:sp>
    <xdr:clientData/>
  </xdr:twoCellAnchor>
  <mc:AlternateContent xmlns:mc="http://schemas.openxmlformats.org/markup-compatibility/2006">
    <mc:Choice xmlns:a14="http://schemas.microsoft.com/office/drawing/2010/main" Requires="a14">
      <xdr:twoCellAnchor editAs="oneCell">
        <xdr:from>
          <xdr:col>22</xdr:col>
          <xdr:colOff>38100</xdr:colOff>
          <xdr:row>2</xdr:row>
          <xdr:rowOff>76200</xdr:rowOff>
        </xdr:from>
        <xdr:to>
          <xdr:col>24</xdr:col>
          <xdr:colOff>304800</xdr:colOff>
          <xdr:row>3</xdr:row>
          <xdr:rowOff>76200</xdr:rowOff>
        </xdr:to>
        <xdr:sp macro="" textlink="">
          <xdr:nvSpPr>
            <xdr:cNvPr id="12050" name="Check Box 786" descr="Click for Stage Area Data" hidden="1">
              <a:extLst>
                <a:ext uri="{63B3BB69-23CF-44E3-9099-C40C66FF867C}">
                  <a14:compatExt spid="_x0000_s12050"/>
                </a:ext>
                <a:ext uri="{FF2B5EF4-FFF2-40B4-BE49-F238E27FC236}">
                  <a16:creationId xmlns:a16="http://schemas.microsoft.com/office/drawing/2014/main" id="{00000000-0008-0000-0000-0000122F0000}"/>
                </a:ext>
              </a:extLst>
            </xdr:cNvPr>
            <xdr:cNvSpPr/>
          </xdr:nvSpPr>
          <xdr:spPr bwMode="auto">
            <a:xfrm>
              <a:off x="0" y="0"/>
              <a:ext cx="0" cy="0"/>
            </a:xfrm>
            <a:prstGeom prst="rect">
              <a:avLst/>
            </a:prstGeom>
            <a:solidFill>
              <a:srgbClr val="97D700">
                <a:alpha val="75000"/>
              </a:srgbClr>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Click for Stage Area Data</a:t>
              </a:r>
            </a:p>
          </xdr:txBody>
        </xdr:sp>
        <xdr:clientData fLocksWithSheet="0"/>
      </xdr:twoCellAnchor>
    </mc:Choice>
    <mc:Fallback/>
  </mc:AlternateContent>
  <xdr:twoCellAnchor editAs="oneCell">
    <xdr:from>
      <xdr:col>6</xdr:col>
      <xdr:colOff>361951</xdr:colOff>
      <xdr:row>0</xdr:row>
      <xdr:rowOff>85725</xdr:rowOff>
    </xdr:from>
    <xdr:to>
      <xdr:col>8</xdr:col>
      <xdr:colOff>879329</xdr:colOff>
      <xdr:row>5</xdr:row>
      <xdr:rowOff>0</xdr:rowOff>
    </xdr:to>
    <xdr:pic>
      <xdr:nvPicPr>
        <xdr:cNvPr id="12102" name="Picture 2">
          <a:extLst>
            <a:ext uri="{FF2B5EF4-FFF2-40B4-BE49-F238E27FC236}">
              <a16:creationId xmlns:a16="http://schemas.microsoft.com/office/drawing/2014/main" id="{00000000-0008-0000-0000-0000462F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7115" t="10867" r="7115" b="16408"/>
        <a:stretch>
          <a:fillRect/>
        </a:stretch>
      </xdr:blipFill>
      <xdr:spPr bwMode="auto">
        <a:xfrm>
          <a:off x="3981451" y="85725"/>
          <a:ext cx="2279503"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22</xdr:col>
          <xdr:colOff>38100</xdr:colOff>
          <xdr:row>4</xdr:row>
          <xdr:rowOff>9525</xdr:rowOff>
        </xdr:from>
        <xdr:to>
          <xdr:col>24</xdr:col>
          <xdr:colOff>390525</xdr:colOff>
          <xdr:row>5</xdr:row>
          <xdr:rowOff>123825</xdr:rowOff>
        </xdr:to>
        <xdr:sp macro="" textlink="">
          <xdr:nvSpPr>
            <xdr:cNvPr id="12052" name="Check Box 788" descr="Click for Stage Area Data" hidden="1">
              <a:extLst>
                <a:ext uri="{63B3BB69-23CF-44E3-9099-C40C66FF867C}">
                  <a14:compatExt spid="_x0000_s12052"/>
                </a:ext>
                <a:ext uri="{FF2B5EF4-FFF2-40B4-BE49-F238E27FC236}">
                  <a16:creationId xmlns:a16="http://schemas.microsoft.com/office/drawing/2014/main" id="{00000000-0008-0000-0000-0000142F0000}"/>
                </a:ext>
              </a:extLst>
            </xdr:cNvPr>
            <xdr:cNvSpPr/>
          </xdr:nvSpPr>
          <xdr:spPr bwMode="auto">
            <a:xfrm>
              <a:off x="0" y="0"/>
              <a:ext cx="0" cy="0"/>
            </a:xfrm>
            <a:prstGeom prst="rect">
              <a:avLst/>
            </a:prstGeom>
            <a:solidFill>
              <a:srgbClr val="97D700">
                <a:alpha val="75000"/>
              </a:srgbClr>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Click to Invert Stage Area Data</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19050</xdr:colOff>
          <xdr:row>0</xdr:row>
          <xdr:rowOff>76200</xdr:rowOff>
        </xdr:from>
        <xdr:to>
          <xdr:col>26</xdr:col>
          <xdr:colOff>190500</xdr:colOff>
          <xdr:row>1</xdr:row>
          <xdr:rowOff>161925</xdr:rowOff>
        </xdr:to>
        <xdr:sp macro="" textlink="">
          <xdr:nvSpPr>
            <xdr:cNvPr id="13315" name="Check Box 3" descr="Include Perimeter Stone in Calculations" hidden="1">
              <a:extLst>
                <a:ext uri="{63B3BB69-23CF-44E3-9099-C40C66FF867C}">
                  <a14:compatExt spid="_x0000_s13315"/>
                </a:ext>
                <a:ext uri="{FF2B5EF4-FFF2-40B4-BE49-F238E27FC236}">
                  <a16:creationId xmlns:a16="http://schemas.microsoft.com/office/drawing/2014/main" id="{00000000-0008-0000-0100-000003340000}"/>
                </a:ext>
              </a:extLst>
            </xdr:cNvPr>
            <xdr:cNvSpPr/>
          </xdr:nvSpPr>
          <xdr:spPr bwMode="auto">
            <a:xfrm>
              <a:off x="0" y="0"/>
              <a:ext cx="0" cy="0"/>
            </a:xfrm>
            <a:prstGeom prst="rect">
              <a:avLst/>
            </a:prstGeom>
            <a:solidFill>
              <a:srgbClr val="97D700"/>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Include Perimeter Stone in Calculations</a:t>
              </a:r>
            </a:p>
          </xdr:txBody>
        </xdr:sp>
        <xdr:clientData fLocksWithSheet="0"/>
      </xdr:twoCellAnchor>
    </mc:Choice>
    <mc:Fallback/>
  </mc:AlternateContent>
  <xdr:twoCellAnchor>
    <xdr:from>
      <xdr:col>23</xdr:col>
      <xdr:colOff>19050</xdr:colOff>
      <xdr:row>6</xdr:row>
      <xdr:rowOff>66674</xdr:rowOff>
    </xdr:from>
    <xdr:to>
      <xdr:col>25</xdr:col>
      <xdr:colOff>447675</xdr:colOff>
      <xdr:row>8</xdr:row>
      <xdr:rowOff>38099</xdr:rowOff>
    </xdr:to>
    <xdr:sp macro="" textlink="">
      <xdr:nvSpPr>
        <xdr:cNvPr id="13317" name="Text Box 5">
          <a:hlinkClick xmlns:r="http://schemas.openxmlformats.org/officeDocument/2006/relationships" r:id="rId1"/>
          <a:extLst>
            <a:ext uri="{FF2B5EF4-FFF2-40B4-BE49-F238E27FC236}">
              <a16:creationId xmlns:a16="http://schemas.microsoft.com/office/drawing/2014/main" id="{00000000-0008-0000-0100-000005340000}"/>
            </a:ext>
          </a:extLst>
        </xdr:cNvPr>
        <xdr:cNvSpPr txBox="1">
          <a:spLocks noChangeArrowheads="1"/>
        </xdr:cNvSpPr>
      </xdr:nvSpPr>
      <xdr:spPr bwMode="auto">
        <a:xfrm>
          <a:off x="8267700" y="1228724"/>
          <a:ext cx="1647825" cy="295275"/>
        </a:xfrm>
        <a:prstGeom prst="rect">
          <a:avLst/>
        </a:prstGeom>
        <a:solidFill>
          <a:srgbClr val="97D700"/>
        </a:solidFill>
        <a:ln w="38100" cap="rnd">
          <a:solidFill>
            <a:schemeClr val="bg1">
              <a:lumMod val="75000"/>
              <a:alpha val="75000"/>
            </a:schemeClr>
          </a:solidFill>
          <a:miter lim="800000"/>
          <a:headEnd/>
          <a:tailEnd/>
        </a:ln>
      </xdr:spPr>
      <xdr:txBody>
        <a:bodyPr vertOverflow="clip" wrap="square" lIns="27432" tIns="18288" rIns="27432" bIns="18288" anchor="ctr" upright="1"/>
        <a:lstStyle/>
        <a:p>
          <a:pPr algn="ctr" rtl="0">
            <a:defRPr sz="1000"/>
          </a:pPr>
          <a:r>
            <a:rPr lang="en-US" sz="1100" b="0" i="0" u="none" strike="noStrike" baseline="0">
              <a:solidFill>
                <a:srgbClr val="000000"/>
              </a:solidFill>
              <a:latin typeface="Arial"/>
              <a:cs typeface="Arial"/>
            </a:rPr>
            <a:t>Click Here for Imperial</a:t>
          </a:r>
          <a:endParaRPr lang="en-US" sz="1100"/>
        </a:p>
      </xdr:txBody>
    </xdr:sp>
    <xdr:clientData/>
  </xdr:twoCellAnchor>
  <mc:AlternateContent xmlns:mc="http://schemas.openxmlformats.org/markup-compatibility/2006">
    <mc:Choice xmlns:a14="http://schemas.microsoft.com/office/drawing/2010/main" Requires="a14">
      <xdr:twoCellAnchor editAs="oneCell">
        <xdr:from>
          <xdr:col>23</xdr:col>
          <xdr:colOff>19050</xdr:colOff>
          <xdr:row>2</xdr:row>
          <xdr:rowOff>57150</xdr:rowOff>
        </xdr:from>
        <xdr:to>
          <xdr:col>25</xdr:col>
          <xdr:colOff>428625</xdr:colOff>
          <xdr:row>3</xdr:row>
          <xdr:rowOff>57150</xdr:rowOff>
        </xdr:to>
        <xdr:sp macro="" textlink="">
          <xdr:nvSpPr>
            <xdr:cNvPr id="14066" name="Check Box 754" descr="Click for Stage Area Data" hidden="1">
              <a:extLst>
                <a:ext uri="{63B3BB69-23CF-44E3-9099-C40C66FF867C}">
                  <a14:compatExt spid="_x0000_s14066"/>
                </a:ext>
                <a:ext uri="{FF2B5EF4-FFF2-40B4-BE49-F238E27FC236}">
                  <a16:creationId xmlns:a16="http://schemas.microsoft.com/office/drawing/2014/main" id="{00000000-0008-0000-0100-0000F2360000}"/>
                </a:ext>
              </a:extLst>
            </xdr:cNvPr>
            <xdr:cNvSpPr/>
          </xdr:nvSpPr>
          <xdr:spPr bwMode="auto">
            <a:xfrm>
              <a:off x="0" y="0"/>
              <a:ext cx="0" cy="0"/>
            </a:xfrm>
            <a:prstGeom prst="rect">
              <a:avLst/>
            </a:prstGeom>
            <a:solidFill>
              <a:srgbClr val="97D700"/>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Click for Stage Area Data</a:t>
              </a:r>
            </a:p>
          </xdr:txBody>
        </xdr:sp>
        <xdr:clientData fLocksWithSheet="0"/>
      </xdr:twoCellAnchor>
    </mc:Choice>
    <mc:Fallback/>
  </mc:AlternateContent>
  <xdr:twoCellAnchor editAs="oneCell">
    <xdr:from>
      <xdr:col>6</xdr:col>
      <xdr:colOff>371475</xdr:colOff>
      <xdr:row>0</xdr:row>
      <xdr:rowOff>104775</xdr:rowOff>
    </xdr:from>
    <xdr:to>
      <xdr:col>8</xdr:col>
      <xdr:colOff>871665</xdr:colOff>
      <xdr:row>5</xdr:row>
      <xdr:rowOff>19050</xdr:rowOff>
    </xdr:to>
    <xdr:pic>
      <xdr:nvPicPr>
        <xdr:cNvPr id="8" name="Picture 2">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7115" t="10867" r="7115" b="16408"/>
        <a:stretch>
          <a:fillRect/>
        </a:stretch>
      </xdr:blipFill>
      <xdr:spPr bwMode="auto">
        <a:xfrm>
          <a:off x="3990975" y="104775"/>
          <a:ext cx="226231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23</xdr:col>
          <xdr:colOff>19050</xdr:colOff>
          <xdr:row>4</xdr:row>
          <xdr:rowOff>9525</xdr:rowOff>
        </xdr:from>
        <xdr:to>
          <xdr:col>25</xdr:col>
          <xdr:colOff>504825</xdr:colOff>
          <xdr:row>5</xdr:row>
          <xdr:rowOff>123825</xdr:rowOff>
        </xdr:to>
        <xdr:sp macro="" textlink="">
          <xdr:nvSpPr>
            <xdr:cNvPr id="14067" name="Check Box 755" descr="Click for Stage Area Data" hidden="1">
              <a:extLst>
                <a:ext uri="{63B3BB69-23CF-44E3-9099-C40C66FF867C}">
                  <a14:compatExt spid="_x0000_s14067"/>
                </a:ext>
                <a:ext uri="{FF2B5EF4-FFF2-40B4-BE49-F238E27FC236}">
                  <a16:creationId xmlns:a16="http://schemas.microsoft.com/office/drawing/2014/main" id="{00000000-0008-0000-0100-0000F3360000}"/>
                </a:ext>
              </a:extLst>
            </xdr:cNvPr>
            <xdr:cNvSpPr/>
          </xdr:nvSpPr>
          <xdr:spPr bwMode="auto">
            <a:xfrm>
              <a:off x="0" y="0"/>
              <a:ext cx="0" cy="0"/>
            </a:xfrm>
            <a:prstGeom prst="rect">
              <a:avLst/>
            </a:prstGeom>
            <a:solidFill>
              <a:srgbClr val="97D700"/>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Click to Invert Stage Area Data</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9</xdr:col>
      <xdr:colOff>762000</xdr:colOff>
      <xdr:row>0</xdr:row>
      <xdr:rowOff>133350</xdr:rowOff>
    </xdr:from>
    <xdr:to>
      <xdr:col>10</xdr:col>
      <xdr:colOff>1323975</xdr:colOff>
      <xdr:row>6</xdr:row>
      <xdr:rowOff>104775</xdr:rowOff>
    </xdr:to>
    <xdr:pic>
      <xdr:nvPicPr>
        <xdr:cNvPr id="2" name="Picture 1" descr="Logo Aug 0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2125" y="133350"/>
          <a:ext cx="217170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9</xdr:col>
          <xdr:colOff>695325</xdr:colOff>
          <xdr:row>8</xdr:row>
          <xdr:rowOff>104775</xdr:rowOff>
        </xdr:from>
        <xdr:to>
          <xdr:col>10</xdr:col>
          <xdr:colOff>1419225</xdr:colOff>
          <xdr:row>10</xdr:row>
          <xdr:rowOff>0</xdr:rowOff>
        </xdr:to>
        <xdr:sp macro="" textlink="">
          <xdr:nvSpPr>
            <xdr:cNvPr id="157697" name="Check Box 1" hidden="1">
              <a:extLst>
                <a:ext uri="{63B3BB69-23CF-44E3-9099-C40C66FF867C}">
                  <a14:compatExt spid="_x0000_s157697"/>
                </a:ext>
                <a:ext uri="{FF2B5EF4-FFF2-40B4-BE49-F238E27FC236}">
                  <a16:creationId xmlns:a16="http://schemas.microsoft.com/office/drawing/2014/main" id="{00000000-0008-0000-0200-000001680200}"/>
                </a:ext>
              </a:extLst>
            </xdr:cNvPr>
            <xdr:cNvSpPr/>
          </xdr:nvSpPr>
          <xdr:spPr bwMode="auto">
            <a:xfrm>
              <a:off x="0" y="0"/>
              <a:ext cx="0" cy="0"/>
            </a:xfrm>
            <a:prstGeom prst="rect">
              <a:avLst/>
            </a:prstGeom>
            <a:solidFill>
              <a:srgbClr val="99CCFF" mc:Ignorable="a14" a14:legacySpreadsheetColorIndex="44"/>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Included Perimeter Stone in Calculatons</a:t>
              </a:r>
            </a:p>
          </xdr:txBody>
        </xdr:sp>
        <xdr:clientData/>
      </xdr:twoCellAnchor>
    </mc:Choice>
    <mc:Fallback/>
  </mc:AlternateContent>
  <xdr:twoCellAnchor>
    <xdr:from>
      <xdr:col>1</xdr:col>
      <xdr:colOff>0</xdr:colOff>
      <xdr:row>11</xdr:row>
      <xdr:rowOff>57150</xdr:rowOff>
    </xdr:from>
    <xdr:to>
      <xdr:col>25</xdr:col>
      <xdr:colOff>0</xdr:colOff>
      <xdr:row>11</xdr:row>
      <xdr:rowOff>295275</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238125" y="2124075"/>
          <a:ext cx="26850975" cy="238125"/>
        </a:xfrm>
        <a:prstGeom prst="rect">
          <a:avLst/>
        </a:prstGeom>
        <a:gradFill rotWithShape="1">
          <a:gsLst>
            <a:gs pos="0">
              <a:srgbClr xmlns:mc="http://schemas.openxmlformats.org/markup-compatibility/2006" xmlns:a14="http://schemas.microsoft.com/office/drawing/2010/main" val="FFFFFF" mc:Ignorable="a14" a14:legacySpreadsheetColorIndex="9"/>
            </a:gs>
            <a:gs pos="100000">
              <a:srgbClr val="299DD7"/>
            </a:gs>
          </a:gsLst>
          <a:lin ang="0" scaled="1"/>
        </a:gradFill>
        <a:ln w="158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36576" bIns="27432" anchor="ctr" upright="1"/>
        <a:lstStyle/>
        <a:p>
          <a:pPr algn="ctr" rtl="0">
            <a:defRPr sz="1000"/>
          </a:pPr>
          <a:r>
            <a:rPr lang="en-US" sz="1400" b="1" i="0" u="none" strike="noStrike" baseline="0">
              <a:solidFill>
                <a:srgbClr val="0000FF"/>
              </a:solidFill>
              <a:latin typeface="Arial"/>
              <a:cs typeface="Arial"/>
            </a:rPr>
            <a:t>StormTech MC-4500 Cumulative Storage Volumes</a:t>
          </a:r>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0</xdr:colOff>
      <xdr:row>2</xdr:row>
      <xdr:rowOff>47625</xdr:rowOff>
    </xdr:from>
    <xdr:to>
      <xdr:col>12</xdr:col>
      <xdr:colOff>251884</xdr:colOff>
      <xdr:row>8</xdr:row>
      <xdr:rowOff>79375</xdr:rowOff>
    </xdr:to>
    <xdr:pic>
      <xdr:nvPicPr>
        <xdr:cNvPr id="2" name="Picture 1" descr="Logo Aug 0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59175" y="419100"/>
          <a:ext cx="2171701"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11</xdr:col>
          <xdr:colOff>0</xdr:colOff>
          <xdr:row>8</xdr:row>
          <xdr:rowOff>57150</xdr:rowOff>
        </xdr:from>
        <xdr:to>
          <xdr:col>12</xdr:col>
          <xdr:colOff>342900</xdr:colOff>
          <xdr:row>9</xdr:row>
          <xdr:rowOff>114300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0400-0000012C0300}"/>
                </a:ext>
              </a:extLst>
            </xdr:cNvPr>
            <xdr:cNvSpPr/>
          </xdr:nvSpPr>
          <xdr:spPr bwMode="auto">
            <a:xfrm>
              <a:off x="0" y="0"/>
              <a:ext cx="0" cy="0"/>
            </a:xfrm>
            <a:prstGeom prst="rect">
              <a:avLst/>
            </a:prstGeom>
            <a:solidFill>
              <a:srgbClr val="99CCFF" mc:Ignorable="a14" a14:legacySpreadsheetColorIndex="44"/>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Include Perimeter Stone in Calculations</a:t>
              </a:r>
            </a:p>
          </xdr:txBody>
        </xdr:sp>
        <xdr:clientData/>
      </xdr:twoCellAnchor>
    </mc:Choice>
    <mc:Fallback/>
  </mc:AlternateContent>
  <xdr:twoCellAnchor>
    <xdr:from>
      <xdr:col>2</xdr:col>
      <xdr:colOff>0</xdr:colOff>
      <xdr:row>11</xdr:row>
      <xdr:rowOff>0</xdr:rowOff>
    </xdr:from>
    <xdr:to>
      <xdr:col>23</xdr:col>
      <xdr:colOff>0</xdr:colOff>
      <xdr:row>11</xdr:row>
      <xdr:rowOff>295275</xdr:rowOff>
    </xdr:to>
    <xdr:sp macro="" textlink="">
      <xdr:nvSpPr>
        <xdr:cNvPr id="3" name="Text Box 3">
          <a:extLst>
            <a:ext uri="{FF2B5EF4-FFF2-40B4-BE49-F238E27FC236}">
              <a16:creationId xmlns:a16="http://schemas.microsoft.com/office/drawing/2014/main" id="{00000000-0008-0000-0400-000003000000}"/>
            </a:ext>
          </a:extLst>
        </xdr:cNvPr>
        <xdr:cNvSpPr txBox="1">
          <a:spLocks noChangeArrowheads="1"/>
        </xdr:cNvSpPr>
      </xdr:nvSpPr>
      <xdr:spPr bwMode="auto">
        <a:xfrm>
          <a:off x="676275" y="2219325"/>
          <a:ext cx="34671000" cy="295275"/>
        </a:xfrm>
        <a:prstGeom prst="rect">
          <a:avLst/>
        </a:prstGeom>
        <a:gradFill rotWithShape="1">
          <a:gsLst>
            <a:gs pos="0">
              <a:srgbClr xmlns:mc="http://schemas.openxmlformats.org/markup-compatibility/2006" xmlns:a14="http://schemas.microsoft.com/office/drawing/2010/main" val="FFFFFF" mc:Ignorable="a14" a14:legacySpreadsheetColorIndex="9"/>
            </a:gs>
            <a:gs pos="100000">
              <a:srgbClr val="299DD7"/>
            </a:gs>
          </a:gsLst>
          <a:lin ang="0" scaled="1"/>
        </a:gra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36576" bIns="27432" anchor="ctr" upright="1"/>
        <a:lstStyle/>
        <a:p>
          <a:pPr algn="ctr" rtl="0">
            <a:defRPr sz="1000"/>
          </a:pPr>
          <a:r>
            <a:rPr lang="en-US" sz="1400" b="1" i="0" u="none" strike="noStrike" baseline="0">
              <a:solidFill>
                <a:srgbClr val="0000FF"/>
              </a:solidFill>
              <a:latin typeface="Arial"/>
              <a:cs typeface="Arial"/>
            </a:rPr>
            <a:t>StormTech MC-3500 Cumulative Storage Volumes</a:t>
          </a:r>
          <a:endParaRPr lang="en-US"/>
        </a:p>
      </xdr:txBody>
    </xdr:sp>
    <xdr:clientData/>
  </xdr:twoCellAnchor>
  <xdr:twoCellAnchor>
    <xdr:from>
      <xdr:col>16</xdr:col>
      <xdr:colOff>677334</xdr:colOff>
      <xdr:row>5</xdr:row>
      <xdr:rowOff>148167</xdr:rowOff>
    </xdr:from>
    <xdr:to>
      <xdr:col>16</xdr:col>
      <xdr:colOff>762000</xdr:colOff>
      <xdr:row>7</xdr:row>
      <xdr:rowOff>137583</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flipH="1">
          <a:off x="25242309" y="1053042"/>
          <a:ext cx="84666" cy="3513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204FF9-F506-415E-9475-6E09BFA3E59E}" name="Imperial_Incremental" displayName="Imperial_Incremental" ref="D2:T62" totalsRowShown="0">
  <autoFilter ref="D2:T62" xr:uid="{55204FF9-F506-415E-9475-6E09BFA3E59E}"/>
  <tableColumns count="17">
    <tableColumn id="1" xr3:uid="{83CBD8F7-D37D-4D7A-9F7C-4EB126D6B261}" name="Height"/>
    <tableColumn id="2" xr3:uid="{BB88EE95-3A02-4513-BB97-3C04B5B2E1FD}" name="SC-160LP"/>
    <tableColumn id="16" xr3:uid="{CDCA57E1-9FED-4D87-8992-60CCF1F5DB63}" name="SC-160LPEC"/>
    <tableColumn id="3" xr3:uid="{0180A8B5-403D-4F74-B1C7-BAECEA86812E}" name="SC-310"/>
    <tableColumn id="17" xr3:uid="{2643D8A4-A349-4FE3-8F2F-2CF14D051E13}" name="SC-310EC"/>
    <tableColumn id="4" xr3:uid="{555CB714-F99C-4E39-8C65-804043A961DD}" name="SC-740"/>
    <tableColumn id="5" xr3:uid="{07F45DDE-345C-46E2-A35C-19E5630FA916}" name="SC-740EC"/>
    <tableColumn id="6" xr3:uid="{0103398C-A1BB-4DB1-9AE9-A6C7900733AF}" name="DC-780"/>
    <tableColumn id="7" xr3:uid="{36D5A9C5-74D2-4977-B57E-C05D3CBB4B45}" name="DC-780EC"/>
    <tableColumn id="8" xr3:uid="{C2072572-FB57-4968-84C8-8837C46A04F0}" name="MC-3500"/>
    <tableColumn id="9" xr3:uid="{8780BA98-5A52-48BC-8092-DF5BBDB76D33}" name="MC-3500EC"/>
    <tableColumn id="10" xr3:uid="{1D2B439F-FBED-44D2-A46F-887DDA6438A6}" name="MC-4500"/>
    <tableColumn id="18" xr3:uid="{15108B1D-48DD-429E-AF89-76E79191656D}" name="MC-4500EC"/>
    <tableColumn id="11" xr3:uid="{1367A7D9-CF9F-4C0B-9A7E-B195A908744B}" name="MC-7200"/>
    <tableColumn id="12" xr3:uid="{75D8173D-069E-4D28-9573-10697EEC5121}" name="MC-7200EC"/>
    <tableColumn id="13" xr3:uid="{EE5FC640-3AE5-4CFF-B2C1-77C31D58A97E}" name="SC-800"/>
    <tableColumn id="14" xr3:uid="{B9E7748E-7472-4A0D-8CF2-D58EBD2239C6}" name="SC-800EC"/>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C68F8FC-5FB7-4E01-AD71-F073845AF0D0}" name="MetricECStone" displayName="MetricECStone" ref="V16:Y24" totalsRowShown="0" headerRowDxfId="107">
  <autoFilter ref="V16:Y24" xr:uid="{9746DD8D-5732-44B2-B57C-A2784D39A97A}"/>
  <tableColumns count="4">
    <tableColumn id="1" xr3:uid="{9F1021C0-7235-47DB-9CF8-08B4D2B6A9B8}" name="Notes"/>
    <tableColumn id="2" xr3:uid="{198C0F0D-7B2A-4954-8A19-2F6566D5D123}" name="Chamber"/>
    <tableColumn id="3" xr3:uid="{C51A5EB1-FAB9-46D0-8C41-C678EA619B62}" name="Millimeter">
      <calculatedColumnFormula>INDEX(ImperialECStone[Inches], MATCH(MetricECStone[[#This Row],[Chamber]], ImperialECStone[Chamber], 0)) * 25.4</calculatedColumnFormula>
    </tableColumn>
    <tableColumn id="4" xr3:uid="{FB0AF650-D543-4BA1-83E9-C439946840E3}" name="Meter" dataDxfId="106">
      <calculatedColumnFormula>X17/1000</calculatedColumnFormula>
    </tableColumn>
  </tableColumns>
  <tableStyleInfo name="TableStyleMedium10"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C3D5568-90C0-4A7E-9F39-C8DB1711DEE3}" name="MetricCoverStoneCheck" displayName="MetricCoverStoneCheck" ref="V42:X50" totalsRowShown="0">
  <autoFilter ref="V42:X50" xr:uid="{CC3D5568-90C0-4A7E-9F39-C8DB1711DEE3}"/>
  <tableColumns count="3">
    <tableColumn id="1" xr3:uid="{53373DAF-4BD7-47C9-B07D-D8199E537757}" name="Chamber"/>
    <tableColumn id="2" xr3:uid="{1899CD6C-8818-4A04-B720-435D2CC77572}" name="Minimum Cover stone depth"/>
    <tableColumn id="3" xr3:uid="{8616779E-48BC-4B1E-BC79-DEF7294B190D}" name="Check" dataDxfId="105">
      <calculatedColumnFormula>W43&gt;'Cumulative Volumes Metric'!$F$10</calculatedColumnFormula>
    </tableColumn>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2BAF113-3D83-4EBD-9A98-564560EAACFC}" name="MetricBaseStoneCheck" displayName="MetricBaseStoneCheck" ref="V29:X37" totalsRowShown="0">
  <autoFilter ref="V29:X37" xr:uid="{E2BAF113-3D83-4EBD-9A98-564560EAACFC}"/>
  <tableColumns count="3">
    <tableColumn id="1" xr3:uid="{7288D652-2738-4310-A2BB-FD376F441FA8}" name="Chamber"/>
    <tableColumn id="2" xr3:uid="{8AB360AD-03F1-42FD-B2C6-0C1675543770}" name="Minimum Base stone depth"/>
    <tableColumn id="3" xr3:uid="{99877072-A1F6-4617-A01D-65DC64C721FC}" name="Check" dataDxfId="104">
      <calculatedColumnFormula>MetricBaseStoneCheck[[#This Row],[Minimum Base stone depth]]&gt;'Cumulative Volumes Metric'!$F$11</calculatedColumnFormula>
    </tableColumn>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9E507B5-6A65-450B-8075-DA3E466AC143}" name="VersionHistory" displayName="VersionHistory" ref="B6:D12" totalsRowShown="0" headerRowDxfId="103">
  <autoFilter ref="B6:D12" xr:uid="{39E507B5-6A65-450B-8075-DA3E466AC143}"/>
  <tableColumns count="3">
    <tableColumn id="1" xr3:uid="{480E27B4-295B-4795-A58A-26383EB07277}" name="Version" dataDxfId="102"/>
    <tableColumn id="3" xr3:uid="{B507501F-482E-4F77-A3C4-11572C543239}" name="Date" dataDxfId="101"/>
    <tableColumn id="2" xr3:uid="{9C013F43-F3EE-4678-9CCE-AC2687F7617B}" name="Notes" dataDxfId="100"/>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EE22D4-40DC-4CCC-871B-A7D023A2DEC9}" name="ImperialDims" displayName="ImperialDims" ref="V2:Y10" totalsRowShown="0" headerRowDxfId="119">
  <autoFilter ref="V2:Y10" xr:uid="{62EE22D4-40DC-4CCC-871B-A7D023A2DEC9}"/>
  <tableColumns count="4">
    <tableColumn id="1" xr3:uid="{213E0F6B-F417-4FE5-B09C-B2DF82D8A61C}" name="Chamber" dataDxfId="118"/>
    <tableColumn id="2" xr3:uid="{44D44FD2-7451-42FD-8D92-38B2F6853B25}" name="Height"/>
    <tableColumn id="3" xr3:uid="{373E8899-4664-451D-9CE0-3D3917F68D7B}" name="Width"/>
    <tableColumn id="4" xr3:uid="{DB5898D3-F5AF-49F8-857D-5A944DA7F161}" name="Length"/>
  </tableColumns>
  <tableStyleInfo name="TableStyleMedium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F7B8D74-0697-4675-82B8-C9D9D7D21990}" name="ImperialEndCapsIncluded" displayName="ImperialEndCapsIncluded" ref="B4:B10" totalsRowShown="0">
  <autoFilter ref="B4:B10" xr:uid="{3F7B8D74-0697-4675-82B8-C9D9D7D21990}"/>
  <tableColumns count="1">
    <tableColumn id="1" xr3:uid="{F7F65EF9-B305-472E-B11B-7F50A84E1BF9}" name="Chambers that include end caps"/>
  </tableColumns>
  <tableStyleInfo name="TableStyleMedium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746DD8D-5732-44B2-B57C-A2784D39A97A}" name="ImperialECStone" displayName="ImperialECStone" ref="V16:Y24" totalsRowShown="0" headerRowDxfId="117">
  <autoFilter ref="V16:Y24" xr:uid="{9746DD8D-5732-44B2-B57C-A2784D39A97A}"/>
  <tableColumns count="4">
    <tableColumn id="1" xr3:uid="{B045333B-F7AB-47D4-986E-F127AC9200D4}" name="Notes"/>
    <tableColumn id="2" xr3:uid="{FBAE6F54-F510-442C-9C7D-B2750CD6EE40}" name="Chamber"/>
    <tableColumn id="3" xr3:uid="{CA8A77D5-C87C-4F4D-984A-A571E451ADDF}" name="Inches"/>
    <tableColumn id="4" xr3:uid="{21541C0F-2E91-4FF7-8365-4ACEA9BED1B9}" name="Feet">
      <calculatedColumnFormula>X17/12</calculatedColumnFormula>
    </tableColumn>
  </tableColumns>
  <tableStyleInfo name="TableStyleMedium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95D47E5-F5BD-4BB1-8102-05C44FCB9C24}" name="ImperialBaseStoneCheck" displayName="ImperialBaseStoneCheck" ref="V30:X38" totalsRowShown="0" headerRowDxfId="116">
  <autoFilter ref="V30:X38" xr:uid="{395D47E5-F5BD-4BB1-8102-05C44FCB9C24}"/>
  <tableColumns count="3">
    <tableColumn id="1" xr3:uid="{42416DD7-E374-4403-96C0-F24536200BB7}" name="Chamber"/>
    <tableColumn id="2" xr3:uid="{1883C8C3-45A4-4D06-9900-881FB67EFE13}" name="Minimum Base stone depth"/>
    <tableColumn id="3" xr3:uid="{223B9CE1-E205-4613-8FA1-8BAF89E13AC6}" name="Check">
      <calculatedColumnFormula>'Cumulative Volumes Imperial'!$F$11&lt;'Imperial Data'!W31</calculatedColumnFormula>
    </tableColumn>
  </tableColumns>
  <tableStyleInfo name="TableStyleMedium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315D78-37B8-4253-B853-0D5947447448}" name="ImperialCoverStoneCheck" displayName="ImperialCoverStoneCheck" ref="V44:X52" totalsRowShown="0" headerRowDxfId="115">
  <autoFilter ref="V44:X52" xr:uid="{00315D78-37B8-4253-B853-0D5947447448}"/>
  <tableColumns count="3">
    <tableColumn id="1" xr3:uid="{C3C36B96-B964-416A-B5B6-11CF51BDE2F0}" name="Chamber"/>
    <tableColumn id="2" xr3:uid="{265FBAE7-0058-41E4-AEA8-D56BF9C6CFF2}" name="Minimum Base stone depth"/>
    <tableColumn id="3" xr3:uid="{8FCDE232-E079-4D80-ADB8-A2C26320DB36}" name="Check" dataDxfId="114">
      <calculatedColumnFormula>'Cumulative Volumes Imperial'!$F$10&lt;'Imperial Data'!W45</calculatedColumnFormula>
    </tableColumn>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CE20CEA-251C-46AD-9C10-04BC23A0DA09}" name="Metric_Incremental" displayName="Metric_Incremental" ref="D2:T62" totalsRowShown="0">
  <autoFilter ref="D2:T62" xr:uid="{55204FF9-F506-415E-9475-6E09BFA3E59E}"/>
  <tableColumns count="17">
    <tableColumn id="1" xr3:uid="{6EFABBA9-2379-4AA2-B3AA-10B055246C77}" name="Height" dataDxfId="113"/>
    <tableColumn id="2" xr3:uid="{624C6BA2-7502-4355-9E00-D0B3CE41DAA7}" name="SC-160LP"/>
    <tableColumn id="16" xr3:uid="{6BF6D0DC-0CE5-444E-8254-FA11750F176C}" name="SC-160LPEC"/>
    <tableColumn id="3" xr3:uid="{78FAF5A5-FD41-474A-B35D-48AA397915AD}" name="SC-310"/>
    <tableColumn id="17" xr3:uid="{C2DA0CC4-F7D4-41A3-821A-9D1E36D355C8}" name="SC-310EC"/>
    <tableColumn id="4" xr3:uid="{D061428B-300A-4D7E-B75D-0C7F21F25B34}" name="SC-740"/>
    <tableColumn id="5" xr3:uid="{6DA09AF4-B5FE-4196-BD24-C45878B8E9B1}" name="SC-740EC"/>
    <tableColumn id="6" xr3:uid="{4FD32E53-737F-419C-81A4-5D90E5BBE993}" name="DC-780"/>
    <tableColumn id="7" xr3:uid="{BFB6FB4F-A96C-4DCE-8B21-E060EE702D03}" name="DC-780EC"/>
    <tableColumn id="8" xr3:uid="{53BC871A-81CA-4CA8-84FD-01B5BFE4847B}" name="MC-3500"/>
    <tableColumn id="9" xr3:uid="{DAB9B6E2-F246-44D7-8E00-A8B91F7DCFD5}" name="MC-3500EC"/>
    <tableColumn id="10" xr3:uid="{ACB83F0C-F82F-4D9C-BB45-C0EC707EF67E}" name="MC-4500"/>
    <tableColumn id="18" xr3:uid="{BB360348-83C5-442B-BF0B-55A2549BB64D}" name="MC-4500EC"/>
    <tableColumn id="11" xr3:uid="{B951A57D-D7AE-42AE-AAFE-799C08C268AC}" name="MC-7200"/>
    <tableColumn id="12" xr3:uid="{8C5A03F2-F051-4551-B9A1-B11A22B9A816}" name="MC-7200EC"/>
    <tableColumn id="13" xr3:uid="{F62FD50A-F0EF-4A8F-AD05-0DAAF948F7C8}" name="SC-800"/>
    <tableColumn id="14" xr3:uid="{9D004B99-197B-4B36-9138-8A12604DB179}" name="SC-800EC"/>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34079A4-6BA6-4D70-A0D4-E6A6B28D965F}" name="MetricDims" displayName="MetricDims" ref="V2:Y10" totalsRowShown="0" headerRowDxfId="112">
  <autoFilter ref="V2:Y10" xr:uid="{62EE22D4-40DC-4CCC-871B-A7D023A2DEC9}"/>
  <tableColumns count="4">
    <tableColumn id="1" xr3:uid="{F64E7648-268E-4A09-BE50-DE5E1BEDC500}" name="Chamber" dataDxfId="111"/>
    <tableColumn id="2" xr3:uid="{55932CBC-9CFF-4733-9B07-0A7E57300C1C}" name="Height" dataDxfId="110">
      <calculatedColumnFormula>ROUND(INDEX(ImperialDims[Height], MATCH(MetricDims[[#This Row],[Chamber]], ImperialDims[Chamber], 0)) * 25.4, 0)</calculatedColumnFormula>
    </tableColumn>
    <tableColumn id="3" xr3:uid="{D9061C7D-FE3C-43D0-84D1-2DB536359085}" name="Width" dataDxfId="109">
      <calculatedColumnFormula>ROUND(INDEX(ImperialDims[Width], MATCH(MetricDims[[#This Row],[Chamber]], ImperialDims[Chamber], 0)) * 25.4, 0)</calculatedColumnFormula>
    </tableColumn>
    <tableColumn id="4" xr3:uid="{A2E2FBF1-36FF-4F2B-BA02-8FEDAFEA45A7}" name="Length" dataDxfId="108">
      <calculatedColumnFormula>ROUND(INDEX(ImperialDims[Length], MATCH(MetricDims[[#This Row],[Chamber]], ImperialDims[Chamber], 0)) * 25.4, 0)</calculatedColumnFormula>
    </tableColumn>
  </tableColumns>
  <tableStyleInfo name="TableStyleMedium14"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891EC9C-4DA0-46E7-98F7-B6A9366F33B4}" name="MetricEndCapsIncluded" displayName="MetricEndCapsIncluded" ref="B4:B10" totalsRowShown="0">
  <autoFilter ref="B4:B10" xr:uid="{3F7B8D74-0697-4675-82B8-C9D9D7D21990}"/>
  <tableColumns count="1">
    <tableColumn id="1" xr3:uid="{E94AF16D-6E8F-4F0C-8158-5304870A5305}" name="Chambers that include end caps"/>
  </tableColumns>
  <tableStyleInfo name="TableStyleMedium1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omments" Target="../comments4.xml"/><Relationship Id="rId4" Type="http://schemas.openxmlformats.org/officeDocument/2006/relationships/ctrlProp" Target="../ctrlProps/ctrlProp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 Id="rId9"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indexed="44"/>
    <pageSetUpPr fitToPage="1"/>
  </sheetPr>
  <dimension ref="A1:AY365"/>
  <sheetViews>
    <sheetView showGridLines="0" tabSelected="1" topLeftCell="C1" zoomScaleNormal="100" workbookViewId="0">
      <selection activeCell="D2" sqref="D2:F2"/>
    </sheetView>
  </sheetViews>
  <sheetFormatPr defaultColWidth="9.140625" defaultRowHeight="12.75" x14ac:dyDescent="0.2"/>
  <cols>
    <col min="1" max="1" width="9.140625" style="32" hidden="1" customWidth="1"/>
    <col min="2" max="2" width="7.28515625" style="32" hidden="1" customWidth="1"/>
    <col min="3" max="3" width="10.7109375" style="32" customWidth="1"/>
    <col min="4" max="4" width="15.7109375" style="32" customWidth="1"/>
    <col min="5" max="5" width="14.7109375" style="32" customWidth="1"/>
    <col min="6" max="6" width="13.7109375" style="32" customWidth="1"/>
    <col min="7" max="7" width="12.7109375" style="32" customWidth="1"/>
    <col min="8" max="8" width="13.7109375" style="32" customWidth="1"/>
    <col min="9" max="9" width="14.7109375" style="32" customWidth="1"/>
    <col min="10" max="10" width="11.7109375" style="32" customWidth="1"/>
    <col min="11" max="11" width="9.7109375" style="32" customWidth="1"/>
    <col min="12" max="12" width="10.7109375" style="32" hidden="1" customWidth="1"/>
    <col min="13" max="21" width="9.140625" style="32" hidden="1" customWidth="1"/>
    <col min="22" max="22" width="5.5703125" style="32" customWidth="1"/>
    <col min="23" max="23" width="9.140625" style="32" customWidth="1"/>
    <col min="24" max="24" width="11.140625" style="32" customWidth="1"/>
    <col min="25" max="25" width="14.7109375" style="32" customWidth="1"/>
    <col min="26" max="26" width="9.5703125" style="32" customWidth="1"/>
    <col min="27" max="27" width="3.85546875" style="32" customWidth="1"/>
    <col min="28" max="33" width="10.7109375" style="32" customWidth="1"/>
    <col min="34" max="34" width="52.28515625" style="32" bestFit="1" customWidth="1"/>
    <col min="35" max="35" width="15.7109375" style="32" customWidth="1"/>
    <col min="36" max="36" width="3.7109375" style="32" customWidth="1"/>
    <col min="37" max="38" width="15.7109375" style="32" hidden="1" customWidth="1"/>
    <col min="39" max="39" width="9.5703125" style="32" hidden="1" customWidth="1"/>
    <col min="40" max="51" width="9.140625" style="32" hidden="1" customWidth="1"/>
    <col min="52" max="54" width="9.140625" style="32" customWidth="1"/>
    <col min="55" max="16384" width="9.140625" style="32"/>
  </cols>
  <sheetData>
    <row r="1" spans="1:51" ht="15" x14ac:dyDescent="0.25">
      <c r="A1" s="32">
        <v>1</v>
      </c>
      <c r="K1" s="170" t="str">
        <f>'Version History'!B2</f>
        <v>Version 1.1</v>
      </c>
    </row>
    <row r="2" spans="1:51" ht="16.5" thickBot="1" x14ac:dyDescent="0.3">
      <c r="A2" s="32">
        <v>2</v>
      </c>
      <c r="B2" s="35"/>
      <c r="C2" s="58" t="s">
        <v>0</v>
      </c>
      <c r="D2" s="238"/>
      <c r="E2" s="238"/>
      <c r="F2" s="238"/>
      <c r="G2" s="35"/>
      <c r="H2" s="35"/>
      <c r="I2" s="35"/>
      <c r="J2" s="35"/>
      <c r="W2" s="101"/>
      <c r="AO2" s="32" t="s">
        <v>1</v>
      </c>
      <c r="AS2" s="32" t="s">
        <v>2</v>
      </c>
    </row>
    <row r="3" spans="1:51" ht="21.75" customHeight="1" x14ac:dyDescent="0.25">
      <c r="A3" s="32">
        <v>3</v>
      </c>
      <c r="B3" s="35"/>
      <c r="C3" s="59"/>
      <c r="D3" s="35"/>
      <c r="E3" s="35"/>
      <c r="F3" s="35"/>
      <c r="G3" s="35"/>
      <c r="H3" s="35"/>
      <c r="I3" s="35"/>
      <c r="J3" s="35"/>
      <c r="AO3" s="32" t="s">
        <v>3</v>
      </c>
      <c r="AP3" s="32" t="s">
        <v>4</v>
      </c>
      <c r="AQ3" s="32" t="s">
        <v>5</v>
      </c>
      <c r="AR3" s="32" t="s">
        <v>6</v>
      </c>
      <c r="AS3" s="32" t="s">
        <v>4</v>
      </c>
      <c r="AT3" s="32" t="s">
        <v>5</v>
      </c>
      <c r="AU3" s="32" t="s">
        <v>7</v>
      </c>
    </row>
    <row r="4" spans="1:51" ht="12.75" customHeight="1" x14ac:dyDescent="0.25">
      <c r="A4" s="32">
        <v>4</v>
      </c>
      <c r="C4" s="68" t="s">
        <v>8</v>
      </c>
      <c r="D4" s="59"/>
      <c r="E4" s="69"/>
      <c r="F4" s="105" t="s">
        <v>21</v>
      </c>
      <c r="G4" s="35"/>
      <c r="H4" s="35"/>
      <c r="I4" s="35"/>
      <c r="J4" s="35"/>
      <c r="AN4" s="101" t="s">
        <v>100</v>
      </c>
      <c r="AO4" s="32">
        <f>$F$7*((AP4+AR4)*AQ4)/144</f>
        <v>148.26388888888889</v>
      </c>
      <c r="AP4" s="32">
        <v>25</v>
      </c>
      <c r="AQ4" s="32">
        <v>85.4</v>
      </c>
      <c r="AR4" s="32">
        <v>0</v>
      </c>
    </row>
    <row r="5" spans="1:51" ht="12.75" customHeight="1" x14ac:dyDescent="0.25">
      <c r="A5" s="32">
        <v>5</v>
      </c>
      <c r="C5" s="68" t="s">
        <v>9</v>
      </c>
      <c r="D5" s="59"/>
      <c r="E5" s="69"/>
      <c r="F5" s="94" t="s">
        <v>10</v>
      </c>
      <c r="G5" s="35"/>
      <c r="H5" s="35"/>
      <c r="I5" s="35"/>
      <c r="J5" s="35"/>
      <c r="AN5" s="32" t="s">
        <v>11</v>
      </c>
      <c r="AO5" s="32">
        <f>$F$7*((AP5+AR5)*AQ5)/144</f>
        <v>219.43055555555554</v>
      </c>
      <c r="AP5" s="32">
        <v>34</v>
      </c>
      <c r="AQ5" s="32">
        <v>85.4</v>
      </c>
      <c r="AR5" s="32">
        <v>3</v>
      </c>
    </row>
    <row r="6" spans="1:51" ht="12.75" customHeight="1" x14ac:dyDescent="0.25">
      <c r="A6" s="32">
        <v>6</v>
      </c>
      <c r="C6" s="68" t="str">
        <f>IF('Imperial Data'!B2,"Number of Chambers -","")</f>
        <v>Number of Chambers -</v>
      </c>
      <c r="D6" s="59"/>
      <c r="E6" s="69"/>
      <c r="F6" s="73">
        <v>100</v>
      </c>
      <c r="G6" s="35"/>
      <c r="H6" s="35"/>
      <c r="I6" s="35"/>
      <c r="J6" s="35"/>
      <c r="AN6" s="32" t="s">
        <v>12</v>
      </c>
      <c r="AO6" s="32">
        <f t="shared" ref="AO6:AO8" si="0">$F$6*((AP6+AR6)*AQ6)/144+$F$7*((AT6+AU6)*(AS6+AR6))/144</f>
        <v>3466.114583333333</v>
      </c>
      <c r="AP6" s="32">
        <v>51</v>
      </c>
      <c r="AQ6" s="32">
        <v>85.4</v>
      </c>
      <c r="AR6" s="32">
        <v>6</v>
      </c>
      <c r="AS6" s="32">
        <v>51</v>
      </c>
      <c r="AT6" s="32">
        <v>9.65</v>
      </c>
      <c r="AU6" s="32">
        <v>12</v>
      </c>
    </row>
    <row r="7" spans="1:51" ht="12.75" customHeight="1" x14ac:dyDescent="0.2">
      <c r="A7" s="32">
        <v>7</v>
      </c>
      <c r="C7" s="60" t="str">
        <f>IF('Imperial Data'!B2,"Number of End Caps -","Number of Chambers -")</f>
        <v>Number of End Caps -</v>
      </c>
      <c r="E7" s="61"/>
      <c r="F7" s="155">
        <v>10</v>
      </c>
      <c r="G7" s="84"/>
      <c r="H7" s="248" t="str">
        <f>IF(C18&gt;210,"SYSTEM HEIGHT EXCEEDS LIMITS OF TOOL. PLEASE CONTACT AN ADS REPRESENTATIVE FOR ASSISTANCE.", "")</f>
        <v/>
      </c>
      <c r="I7" s="248"/>
      <c r="J7" s="248"/>
      <c r="K7" s="248"/>
      <c r="AN7" s="32" t="s">
        <v>13</v>
      </c>
      <c r="AO7" s="32">
        <f t="shared" si="0"/>
        <v>3466.114583333333</v>
      </c>
      <c r="AP7" s="32">
        <v>51</v>
      </c>
      <c r="AQ7" s="32">
        <v>85.4</v>
      </c>
      <c r="AR7" s="32">
        <v>6</v>
      </c>
      <c r="AS7" s="32">
        <v>51</v>
      </c>
      <c r="AT7" s="32">
        <v>9.65</v>
      </c>
      <c r="AU7" s="32">
        <v>12</v>
      </c>
    </row>
    <row r="8" spans="1:51" ht="12.75" customHeight="1" x14ac:dyDescent="0.2">
      <c r="A8" s="32">
        <v>8</v>
      </c>
      <c r="C8" s="68" t="s">
        <v>14</v>
      </c>
      <c r="E8" s="61"/>
      <c r="F8" s="107">
        <v>40</v>
      </c>
      <c r="G8" s="32" t="s">
        <v>15</v>
      </c>
      <c r="H8" s="248"/>
      <c r="I8" s="248"/>
      <c r="J8" s="248"/>
      <c r="K8" s="248"/>
      <c r="AN8" s="32" t="s">
        <v>101</v>
      </c>
      <c r="AO8" s="32">
        <f t="shared" si="0"/>
        <v>3287.1000000000004</v>
      </c>
      <c r="AP8" s="32">
        <v>51</v>
      </c>
      <c r="AQ8" s="32">
        <v>85.4</v>
      </c>
      <c r="AR8" s="32">
        <v>3</v>
      </c>
      <c r="AS8" s="32">
        <v>51</v>
      </c>
      <c r="AT8" s="32">
        <v>10.56</v>
      </c>
      <c r="AU8" s="32">
        <v>12</v>
      </c>
      <c r="AW8" s="237" t="s">
        <v>18</v>
      </c>
      <c r="AX8" s="237"/>
      <c r="AY8" s="237"/>
    </row>
    <row r="9" spans="1:51" ht="12.75" customHeight="1" x14ac:dyDescent="0.2">
      <c r="A9" s="32">
        <v>9</v>
      </c>
      <c r="C9" s="60" t="str">
        <f>IF(INDEX(ImperialBaseStoneCheck[Check], MATCH(F4, ImperialBaseStoneCheck[Chamber], 0)), "Base of STORAGE Elevation -", "Base of Stone Elevation -")</f>
        <v>Base of Stone Elevation -</v>
      </c>
      <c r="F9" s="108">
        <v>100</v>
      </c>
      <c r="G9" s="32" t="s">
        <v>19</v>
      </c>
      <c r="H9" s="248"/>
      <c r="I9" s="248"/>
      <c r="J9" s="248"/>
      <c r="K9" s="248"/>
      <c r="Y9" s="63"/>
      <c r="AN9" s="32" t="s">
        <v>16</v>
      </c>
      <c r="AO9" s="32">
        <f>$F$6*((AP9+AR9)*AQ9)/144+$F$7*((AT9+AU9)*(AS9+AR9))/144</f>
        <v>5119.4861111111113</v>
      </c>
      <c r="AP9" s="32">
        <v>77</v>
      </c>
      <c r="AQ9" s="32">
        <v>86</v>
      </c>
      <c r="AR9" s="67">
        <v>6</v>
      </c>
      <c r="AS9" s="32">
        <v>77</v>
      </c>
      <c r="AT9" s="32">
        <v>22.2</v>
      </c>
      <c r="AU9" s="67">
        <v>6</v>
      </c>
      <c r="AW9" s="237"/>
      <c r="AX9" s="237"/>
      <c r="AY9" s="237"/>
    </row>
    <row r="10" spans="1:51" ht="12.75" customHeight="1" x14ac:dyDescent="0.2">
      <c r="A10" s="32">
        <v>10</v>
      </c>
      <c r="C10" s="60" t="s">
        <v>22</v>
      </c>
      <c r="F10" s="107">
        <v>12</v>
      </c>
      <c r="G10" s="32" t="s">
        <v>23</v>
      </c>
      <c r="H10" s="64"/>
      <c r="W10" s="63" t="s">
        <v>140</v>
      </c>
      <c r="AN10" s="32" t="s">
        <v>20</v>
      </c>
      <c r="AO10" s="32">
        <f>$F$6*((AP10+AR10)*AQ10)/144+$F$7*((AT10+AU10)*(AS10+AR10))/144</f>
        <v>3995.1527777777774</v>
      </c>
      <c r="AP10" s="32">
        <v>100</v>
      </c>
      <c r="AQ10" s="32">
        <v>48.3</v>
      </c>
      <c r="AR10" s="32">
        <v>9</v>
      </c>
      <c r="AS10" s="32">
        <v>100</v>
      </c>
      <c r="AT10" s="32">
        <v>32.799999999999997</v>
      </c>
      <c r="AU10" s="32">
        <v>12</v>
      </c>
      <c r="AW10" s="237"/>
      <c r="AX10" s="237"/>
      <c r="AY10" s="237"/>
    </row>
    <row r="11" spans="1:51" ht="12.75" customHeight="1" x14ac:dyDescent="0.2">
      <c r="A11" s="32">
        <v>11</v>
      </c>
      <c r="C11" s="60" t="s">
        <v>24</v>
      </c>
      <c r="F11" s="107">
        <v>9</v>
      </c>
      <c r="G11" s="32" t="s">
        <v>23</v>
      </c>
      <c r="H11" s="62" t="str">
        <f>IF('Cumulative Volumes Imperial'!$AQ$17=FALSE,"",IF(F13&lt;(H13-0.5),"AREA MUST BE ENTERED TO INCLUDE PERIMETER STONE",""))</f>
        <v/>
      </c>
      <c r="T11" s="32">
        <f>1/T12</f>
        <v>8.3333333333333329E-2</v>
      </c>
      <c r="U11" s="32">
        <f>T11</f>
        <v>8.3333333333333329E-2</v>
      </c>
      <c r="W11" s="213" t="b">
        <v>0</v>
      </c>
      <c r="X11" s="101" t="s">
        <v>153</v>
      </c>
      <c r="AN11" s="32" t="s">
        <v>21</v>
      </c>
      <c r="AO11" s="32">
        <f>$F$6*((AP11+AR11)*AQ11)/144+$F$7*((AT11+AU11)*(AS11+AR11))/144</f>
        <v>6326.541666666667</v>
      </c>
      <c r="AP11" s="32">
        <v>100</v>
      </c>
      <c r="AQ11" s="32">
        <v>79.099999999999994</v>
      </c>
      <c r="AR11" s="32">
        <v>9</v>
      </c>
      <c r="AS11" s="32">
        <v>100</v>
      </c>
      <c r="AT11" s="32">
        <v>32.799999999999997</v>
      </c>
      <c r="AU11" s="32">
        <v>12</v>
      </c>
      <c r="AW11" s="122"/>
      <c r="AX11" s="122"/>
      <c r="AY11" s="122"/>
    </row>
    <row r="12" spans="1:51" ht="12.75" customHeight="1" x14ac:dyDescent="0.2">
      <c r="A12" s="32">
        <v>12</v>
      </c>
      <c r="C12" s="60"/>
      <c r="F12" s="62"/>
      <c r="H12" s="62"/>
      <c r="J12" s="73"/>
      <c r="Q12" s="101" t="s">
        <v>25</v>
      </c>
      <c r="S12" s="32">
        <f>C18/T12</f>
        <v>6.75</v>
      </c>
      <c r="T12" s="32">
        <v>12</v>
      </c>
      <c r="W12" s="213" t="b">
        <v>0</v>
      </c>
      <c r="X12" s="101" t="s">
        <v>150</v>
      </c>
      <c r="AW12" s="122"/>
      <c r="AX12" s="122"/>
      <c r="AY12" s="122"/>
    </row>
    <row r="13" spans="1:51" ht="12.75" customHeight="1" x14ac:dyDescent="0.2">
      <c r="A13" s="32">
        <v>13</v>
      </c>
      <c r="C13" s="60" t="str">
        <f>IF('Cumulative Volumes Imperial'!$AQ$17=FALSE,"",IF(F13&lt;(H13-0.5),"Area must be at least value listed to right -","Area of system -"))</f>
        <v>Area of system -</v>
      </c>
      <c r="F13" s="109">
        <v>6400</v>
      </c>
      <c r="G13" s="32" t="str">
        <f>IF('Cumulative Volumes Imperial'!AQ17=FALSE,"","sf  Min. Area - ")</f>
        <v xml:space="preserve">sf  Min. Area - </v>
      </c>
      <c r="H13" s="241">
        <f>IF('Cumulative Volumes Imperial'!AQ17=FALSE,"",AN13)</f>
        <v>6326.541666666667</v>
      </c>
      <c r="I13" s="241"/>
      <c r="AN13" s="32">
        <f>INDEX(AO4:AO11, MATCH(AN17, AN4:AN11, 0))</f>
        <v>6326.541666666667</v>
      </c>
      <c r="AP13" s="101" t="s">
        <v>17</v>
      </c>
    </row>
    <row r="14" spans="1:51" ht="36" customHeight="1" x14ac:dyDescent="0.2">
      <c r="A14" s="32">
        <v>14</v>
      </c>
      <c r="C14" s="239" t="str">
        <f>IF(INDEX(ImperialBaseStoneCheck[Check], MATCH($F$4, ImperialBaseStoneCheck[Chamber], 0)),
   "StormTech requires a minimum of " &amp;
   INDEX(ImperialBaseStoneCheck[Minimum Base stone depth], MATCH('Cumulative Volumes Imperial'!$F$4, ImperialBaseStoneCheck[Chamber], 0)) &amp;
   " inches of stone below the chambers. This table is for modeling purposes only. Please see the engineer's drawings for the actual amount of stone under the chambers.",
   "")</f>
        <v/>
      </c>
      <c r="D14" s="239"/>
      <c r="E14" s="239"/>
      <c r="F14" s="239"/>
      <c r="G14" s="239" t="str">
        <f>IF(INDEX(ImperialCoverStoneCheck[Check], MATCH(F4, ImperialCoverStoneCheck[Chamber], 0)),
   "StormTech requires a minimum of " &amp;
   INDEX(ImperialCoverStoneCheck[Minimum Base stone depth], MATCH('Cumulative Volumes Imperial'!F4, ImperialCoverStoneCheck[Chamber], 0)) &amp;
   " inches of stone above the chambers. This table is for modeling purposes only. Please see the engineer's drawings for the actual amount of stone under the chambers.",
   "")</f>
        <v/>
      </c>
      <c r="H14" s="239"/>
      <c r="I14" s="239"/>
      <c r="J14" s="239"/>
      <c r="K14" s="240"/>
    </row>
    <row r="15" spans="1:51" ht="18" customHeight="1" x14ac:dyDescent="0.25">
      <c r="A15" s="32">
        <v>15</v>
      </c>
      <c r="C15" s="245" t="str">
        <f>"StormTech "&amp;F4&amp;" Cumulative Storage Volumes"</f>
        <v>StormTech MC-7200 Cumulative Storage Volumes</v>
      </c>
      <c r="D15" s="246"/>
      <c r="E15" s="246"/>
      <c r="F15" s="246"/>
      <c r="G15" s="246"/>
      <c r="H15" s="246"/>
      <c r="I15" s="247"/>
      <c r="J15" s="66"/>
      <c r="W15" s="243" t="str">
        <f>IF($AO$17,"Stage Area Data","")</f>
        <v/>
      </c>
      <c r="X15" s="244"/>
      <c r="Y15" s="244"/>
      <c r="Z15" s="244"/>
      <c r="AA15" s="2"/>
      <c r="AB15" s="242" t="str">
        <f>IF($AO$17,AW8,"")</f>
        <v/>
      </c>
      <c r="AC15" s="242"/>
      <c r="AD15" s="242"/>
      <c r="AE15" s="242"/>
      <c r="AF15" s="242"/>
      <c r="AG15" s="161"/>
      <c r="AH15" s="129"/>
      <c r="AI15" s="129"/>
      <c r="AJ15" s="129"/>
      <c r="AK15" s="129"/>
      <c r="AL15" s="129"/>
      <c r="AM15" s="129"/>
      <c r="AN15"/>
    </row>
    <row r="16" spans="1:51" ht="29.25" customHeight="1" thickBot="1" x14ac:dyDescent="0.4">
      <c r="A16" s="32">
        <v>16</v>
      </c>
      <c r="B16" s="57"/>
      <c r="C16" s="110" t="s">
        <v>26</v>
      </c>
      <c r="D16" s="110" t="s">
        <v>27</v>
      </c>
      <c r="E16" s="110" t="str">
        <f>IF('Imperial Data'!$B$2,"Incremental Single End Cap","Incremental Total Chamber")</f>
        <v>Incremental Single End Cap</v>
      </c>
      <c r="F16" s="110" t="str">
        <f>IF('Imperial Data'!$B$2,"Incremental Chambers","Incremental Stone")</f>
        <v>Incremental Chambers</v>
      </c>
      <c r="G16" s="110" t="str">
        <f>IF('Imperial Data'!$B$2,"Incremental End Cap","Incremental Ch &amp; St")</f>
        <v>Incremental End Cap</v>
      </c>
      <c r="H16" s="110" t="str">
        <f>IF('Imperial Data'!$B$2,"Incremental Stone","Cumulative Chamber")</f>
        <v>Incremental Stone</v>
      </c>
      <c r="I16" s="110" t="str">
        <f>IF('Imperial Data'!$B$2,"Incremental Ch, EC and Stone","Elevation")</f>
        <v>Incremental Ch, EC and Stone</v>
      </c>
      <c r="J16" s="102" t="str">
        <f>IF('Imperial Data'!$B$2,"Cumulative System","")</f>
        <v>Cumulative System</v>
      </c>
      <c r="K16" s="102" t="str">
        <f>IF('Imperial Data'!$B$2,"Elevation","")</f>
        <v>Elevation</v>
      </c>
      <c r="L16" s="86" t="s">
        <v>28</v>
      </c>
      <c r="M16" s="86" t="s">
        <v>29</v>
      </c>
      <c r="O16" s="101" t="s">
        <v>29</v>
      </c>
      <c r="P16"/>
      <c r="Q16" s="98" t="s">
        <v>30</v>
      </c>
      <c r="R16" s="98" t="s">
        <v>30</v>
      </c>
      <c r="S16" s="101" t="s">
        <v>3</v>
      </c>
      <c r="U16" s="101" t="s">
        <v>31</v>
      </c>
      <c r="W16" s="50" t="str">
        <f>IF($AO$17,"Depth","")</f>
        <v/>
      </c>
      <c r="X16" s="50" t="str">
        <f>IF($AO$17,"Elevation","")</f>
        <v/>
      </c>
      <c r="Y16" s="50" t="str">
        <f>IF($AO$17,"Area","")</f>
        <v/>
      </c>
      <c r="Z16" s="50" t="str">
        <f>IF($AO$17,"Area","")</f>
        <v/>
      </c>
      <c r="AA16" s="50"/>
      <c r="AB16" s="242"/>
      <c r="AC16" s="242"/>
      <c r="AD16" s="242"/>
      <c r="AE16" s="242"/>
      <c r="AF16" s="242"/>
      <c r="AG16" s="161"/>
      <c r="AH16" s="165"/>
      <c r="AI16" s="132"/>
      <c r="AJ16" s="132"/>
      <c r="AK16" s="137" t="s">
        <v>128</v>
      </c>
      <c r="AL16" s="138"/>
      <c r="AM16" s="129"/>
      <c r="AN16"/>
      <c r="AO16" s="101" t="s">
        <v>32</v>
      </c>
      <c r="AQ16" s="26" t="s">
        <v>33</v>
      </c>
    </row>
    <row r="17" spans="1:43" ht="12.75" customHeight="1" thickBot="1" x14ac:dyDescent="0.25">
      <c r="A17" s="32">
        <f>IF(C17&lt;&gt;"",A16+1,"")</f>
        <v>17</v>
      </c>
      <c r="B17" s="57"/>
      <c r="C17" s="90" t="s">
        <v>34</v>
      </c>
      <c r="D17" s="90" t="s">
        <v>35</v>
      </c>
      <c r="E17" s="90" t="s">
        <v>35</v>
      </c>
      <c r="F17" s="90" t="s">
        <v>35</v>
      </c>
      <c r="G17" s="90" t="s">
        <v>35</v>
      </c>
      <c r="H17" s="90" t="s">
        <v>35</v>
      </c>
      <c r="I17" s="90" t="str">
        <f>IF('Imperial Data'!$B$2,"(cubic feet)","(feet)")</f>
        <v>(cubic feet)</v>
      </c>
      <c r="J17" s="102" t="str">
        <f>IF('Imperial Data'!$B$2,"(cubic feet)","")</f>
        <v>(cubic feet)</v>
      </c>
      <c r="K17" s="102" t="str">
        <f>IF('Imperial Data'!$B$2,"(feet)","")</f>
        <v>(feet)</v>
      </c>
      <c r="L17" s="87" t="s">
        <v>35</v>
      </c>
      <c r="M17" s="87" t="s">
        <v>36</v>
      </c>
      <c r="O17" s="101" t="s">
        <v>36</v>
      </c>
      <c r="Q17" s="101" t="s">
        <v>36</v>
      </c>
      <c r="R17" s="101" t="s">
        <v>36</v>
      </c>
      <c r="S17" s="101" t="s">
        <v>37</v>
      </c>
      <c r="U17" s="32">
        <f>SUM(U18:U227)</f>
        <v>82</v>
      </c>
      <c r="W17" s="102" t="str">
        <f>IF($AO$17,"(feet)","")</f>
        <v/>
      </c>
      <c r="X17" s="50" t="str">
        <f>IF($AO$17,"(feet)","")</f>
        <v/>
      </c>
      <c r="Y17" s="50" t="str">
        <f>IF($AO$17,"(ft²)","")</f>
        <v/>
      </c>
      <c r="Z17" s="50" t="str">
        <f>IF($AO$17,"(acres)","")</f>
        <v/>
      </c>
      <c r="AA17" s="102"/>
      <c r="AB17" s="242"/>
      <c r="AC17" s="242"/>
      <c r="AD17" s="242"/>
      <c r="AE17" s="242"/>
      <c r="AF17" s="242"/>
      <c r="AG17" s="176" t="s">
        <v>154</v>
      </c>
      <c r="AH17" s="129"/>
      <c r="AJ17" s="130"/>
      <c r="AK17" s="137" t="s">
        <v>126</v>
      </c>
      <c r="AL17" s="139" t="s">
        <v>127</v>
      </c>
      <c r="AM17" s="129"/>
      <c r="AN17" s="111" t="str">
        <f>F4</f>
        <v>MC-7200</v>
      </c>
      <c r="AO17" s="95" t="b">
        <v>0</v>
      </c>
      <c r="AQ17" s="96" t="b">
        <v>1</v>
      </c>
    </row>
    <row r="18" spans="1:43" x14ac:dyDescent="0.2">
      <c r="A18" s="32">
        <f t="shared" ref="A18:A81" si="1">IF(C18&lt;&gt;"",A17+1,"")</f>
        <v>18</v>
      </c>
      <c r="C18" s="35">
        <f>IF(OR(C17=1,C17=""),"",'Imperial Calcs'!B14)</f>
        <v>81</v>
      </c>
      <c r="D18" s="30">
        <f>IF(C18="","",'Imperial Calcs'!C14)</f>
        <v>0</v>
      </c>
      <c r="E18" s="30">
        <f>IF(OR(C17=1,C17=""),"",IF('Imperial Data'!$B$2,'Imperial Calcs'!D14,'Imperial Calcs'!E14))</f>
        <v>0</v>
      </c>
      <c r="F18" s="30">
        <f>IF(OR(C17=1,C17=""),"",IF('Imperial Data'!$B$2,'Imperial Calcs'!E14,'Imperial Calcs'!G14))</f>
        <v>0</v>
      </c>
      <c r="G18" s="30">
        <f>IF(OR(C17=1,C17=""),"",IF('Imperial Data'!$B$2,'Imperial Calcs'!F14,'Imperial Calcs'!J14))</f>
        <v>0</v>
      </c>
      <c r="H18" s="30">
        <f>IF(OR(C17=1,C17=""),"",IF('Imperial Data'!$B$2,'Imperial Calcs'!G14,'Imperial Calcs'!M14))</f>
        <v>213.33333333333331</v>
      </c>
      <c r="I18" s="30">
        <f>IF(C18="","",IF('Imperial Data'!$B$2,'Imperial Calcs'!J14,'Imperial Calcs'!Y14))</f>
        <v>213.33333333333331</v>
      </c>
      <c r="J18" s="30">
        <f>IF('Imperial Data'!$B$2,'Imperial Calcs'!M14,"")</f>
        <v>28071.38489279999</v>
      </c>
      <c r="K18" s="30">
        <f>IF('Imperial Data'!$B$2,'Imperial Calcs'!Y14,"")</f>
        <v>106.75</v>
      </c>
      <c r="L18" s="37">
        <f>IF('Imperial Data'!$B$2,J18,H18)</f>
        <v>28071.38489279999</v>
      </c>
      <c r="M18" s="112">
        <f>IF('Imperial Data'!$B$2,K18,I18)</f>
        <v>106.75</v>
      </c>
      <c r="O18" s="32">
        <f>IF(M19="",IF(M18="","",$F$9),M18)</f>
        <v>106.75</v>
      </c>
      <c r="Q18" s="37">
        <f>S12</f>
        <v>6.75</v>
      </c>
      <c r="R18" s="32">
        <f t="shared" ref="R18:R49" si="2">IF(AND(C18="",C17=1),0,IF(C18="","",IF(OR(Q18=0,Q18&gt;0),Q18,"")))</f>
        <v>6.75</v>
      </c>
      <c r="S18" s="85">
        <f t="shared" ref="S18:S49" si="3">IF(R18="","",IF(R18=0,L17/$U$11,IF(ISNUMBER(O19),(L18-L19)/(M18-M19),S17)))</f>
        <v>2560.000000000131</v>
      </c>
      <c r="U18" s="32">
        <f>IF(R18="","",1)</f>
        <v>1</v>
      </c>
      <c r="W18" s="30" t="str">
        <f>IF(AO21="TYP",0,IF(AO21="INVERT",R18,""))</f>
        <v/>
      </c>
      <c r="X18" s="30" t="str">
        <f>IF(W18="","",$F$9+W18)</f>
        <v/>
      </c>
      <c r="Y18" s="30" t="str" cm="1">
        <f t="array" ref="Y18">IF(AO21="TYP",IF(S17="","",INDEX($S$18:$S$227,$U$17-ROWS($S17:$S$18))),IF(AO21="INVERT",S18,""))</f>
        <v/>
      </c>
      <c r="Z18" s="75" t="str">
        <f>IF(Y18="","",Y18/43560)</f>
        <v/>
      </c>
      <c r="AA18" s="67"/>
      <c r="AB18" s="242"/>
      <c r="AC18" s="242"/>
      <c r="AD18" s="242"/>
      <c r="AE18" s="242"/>
      <c r="AF18" s="242"/>
      <c r="AG18" s="191"/>
      <c r="AH18" s="192" t="s">
        <v>141</v>
      </c>
      <c r="AI18" s="183"/>
      <c r="AJ18" s="130"/>
      <c r="AK18" s="140" t="e">
        <f>INDEX($H$18:$H$200, MATCH($AI$18, $I$18:$I$200, 0))</f>
        <v>#N/A</v>
      </c>
      <c r="AL18" s="140" t="e">
        <f>INDEX($J$18:$J$200, MATCH($AI$18, $K$18:$K$200, 0))</f>
        <v>#N/A</v>
      </c>
      <c r="AM18" s="129"/>
      <c r="AO18" s="101" t="s">
        <v>38</v>
      </c>
    </row>
    <row r="19" spans="1:43" x14ac:dyDescent="0.2">
      <c r="A19" s="32">
        <f t="shared" si="1"/>
        <v>19</v>
      </c>
      <c r="C19" s="35">
        <f>IF(OR(C18=1,C18=""),"",'Imperial Calcs'!B15)</f>
        <v>80</v>
      </c>
      <c r="D19" s="30">
        <f>IF(C19="","",'Imperial Calcs'!C15)</f>
        <v>0</v>
      </c>
      <c r="E19" s="30">
        <f>IF(OR(C18=1,C18=""),"",IF('Imperial Data'!$B$2,'Imperial Calcs'!D15,'Imperial Calcs'!E15))</f>
        <v>0</v>
      </c>
      <c r="F19" s="30">
        <f>IF(OR(C18=1,C18=""),"",IF('Imperial Data'!$B$2,'Imperial Calcs'!E15,'Imperial Calcs'!G15))</f>
        <v>0</v>
      </c>
      <c r="G19" s="30">
        <f>IF(OR(C18=1,C18=""),"",IF('Imperial Data'!$B$2,'Imperial Calcs'!F15,'Imperial Calcs'!J15))</f>
        <v>0</v>
      </c>
      <c r="H19" s="30">
        <f>IF(OR(C18=1,C18=""),"",IF('Imperial Data'!$B$2,'Imperial Calcs'!G15,'Imperial Calcs'!M15))</f>
        <v>213.33333333333331</v>
      </c>
      <c r="I19" s="30">
        <f>IF(C19="","",IF('Imperial Data'!$B$2,'Imperial Calcs'!J15,'Imperial Calcs'!Y15))</f>
        <v>213.33333333333331</v>
      </c>
      <c r="J19" s="30">
        <f>IF('Imperial Data'!$B$2,'Imperial Calcs'!M15,"")</f>
        <v>27858.051559466658</v>
      </c>
      <c r="K19" s="30">
        <f>IF('Imperial Data'!$B$2,'Imperial Calcs'!Y15,"")</f>
        <v>106.66666666666667</v>
      </c>
      <c r="L19" s="37">
        <f>IF('Imperial Data'!$B$2,J19,H19)</f>
        <v>27858.051559466658</v>
      </c>
      <c r="M19" s="112">
        <f>IF('Imperial Data'!$B$2,K19,I19)</f>
        <v>106.66666666666667</v>
      </c>
      <c r="O19" s="32">
        <f t="shared" ref="O19:O82" si="4">IF(M20="",IF(M19="","",$F$9),M19)</f>
        <v>106.66666666666667</v>
      </c>
      <c r="Q19" s="112">
        <f>Q18-($U$11)</f>
        <v>6.666666666666667</v>
      </c>
      <c r="R19" s="32">
        <f t="shared" si="2"/>
        <v>6.666666666666667</v>
      </c>
      <c r="S19" s="32">
        <f t="shared" si="3"/>
        <v>2559.9999999996944</v>
      </c>
      <c r="U19" s="32">
        <f t="shared" ref="U19:U82" si="5">IF(R19="","",1)</f>
        <v>1</v>
      </c>
      <c r="W19" s="30" t="str" cm="1">
        <f t="array" ref="W19">IF($AO$21="INVERT",R19,IF(W18&gt;=$S$12,"",IF(R18="","",INDEX($R$18:$R$227,$U$17-ROWS($R$18:$R18)))))</f>
        <v/>
      </c>
      <c r="X19" s="30" t="str">
        <f t="shared" ref="X19:X82" si="6">IF(W19="","",$F$9+W19)</f>
        <v/>
      </c>
      <c r="Y19" s="30" t="str">
        <f>IF(Y18="","",IF($AO$21="TYP",IF(S18="","",INDEX($S$18:$S$227,$U$17-ROWS($S$18:$S18))),IF($AO$21="INVERT",S19,"")))</f>
        <v/>
      </c>
      <c r="Z19" s="75" t="str">
        <f t="shared" ref="Z19:Z49" si="7">IF(Y19="","",Y19/43560)</f>
        <v/>
      </c>
      <c r="AA19" s="67"/>
      <c r="AB19" s="242"/>
      <c r="AC19" s="242"/>
      <c r="AD19" s="242"/>
      <c r="AE19" s="242"/>
      <c r="AF19" s="242"/>
      <c r="AG19" s="193" t="b">
        <v>0</v>
      </c>
      <c r="AH19" s="179" t="s">
        <v>142</v>
      </c>
      <c r="AI19" s="184">
        <f>IFERROR(IF('Imperial Data'!B2,$J$18-AI$20,$H$18-AI$20),"")</f>
        <v>28071.38489279999</v>
      </c>
      <c r="AJ19" s="130"/>
      <c r="AK19" s="142">
        <f>INDEX($H$18:$H$200, MATCH($AI$18, $I$18:$I$200, -1))</f>
        <v>213.33333333333331</v>
      </c>
      <c r="AL19" s="142">
        <f>INDEX($J$18:$J$200, MATCH($AI$18, $K$18:$K$200,-1 ))</f>
        <v>213.33333333333331</v>
      </c>
      <c r="AM19" s="129"/>
      <c r="AO19" s="95" t="b">
        <v>0</v>
      </c>
    </row>
    <row r="20" spans="1:43" x14ac:dyDescent="0.2">
      <c r="A20" s="32">
        <f t="shared" si="1"/>
        <v>20</v>
      </c>
      <c r="C20" s="35">
        <f>IF(OR(C19=1,C19=""),"",'Imperial Calcs'!B16)</f>
        <v>79</v>
      </c>
      <c r="D20" s="30">
        <f>IF(C20="","",'Imperial Calcs'!C16)</f>
        <v>0</v>
      </c>
      <c r="E20" s="30">
        <f>IF(OR(C19=1,C19=""),"",IF('Imperial Data'!$B$2,'Imperial Calcs'!D16,'Imperial Calcs'!E16))</f>
        <v>0</v>
      </c>
      <c r="F20" s="30">
        <f>IF(OR(C19=1,C19=""),"",IF('Imperial Data'!$B$2,'Imperial Calcs'!E16,'Imperial Calcs'!G16))</f>
        <v>0</v>
      </c>
      <c r="G20" s="30">
        <f>IF(OR(C19=1,C19=""),"",IF('Imperial Data'!$B$2,'Imperial Calcs'!F16,'Imperial Calcs'!J16))</f>
        <v>0</v>
      </c>
      <c r="H20" s="30">
        <f>IF(OR(C19=1,C19=""),"",IF('Imperial Data'!$B$2,'Imperial Calcs'!G16,'Imperial Calcs'!M16))</f>
        <v>213.33333333333331</v>
      </c>
      <c r="I20" s="30">
        <f>IF(C20="","",IF('Imperial Data'!$B$2,'Imperial Calcs'!J16,'Imperial Calcs'!Y16))</f>
        <v>213.33333333333331</v>
      </c>
      <c r="J20" s="30">
        <f>IF('Imperial Data'!$B$2,'Imperial Calcs'!M16,"")</f>
        <v>27644.718226133326</v>
      </c>
      <c r="K20" s="30">
        <f>IF('Imperial Data'!$B$2,'Imperial Calcs'!Y16,"")</f>
        <v>106.58333333333333</v>
      </c>
      <c r="L20" s="37">
        <f>IF('Imperial Data'!$B$2,J20,H20)</f>
        <v>27644.718226133326</v>
      </c>
      <c r="M20" s="112">
        <f>IF('Imperial Data'!$B$2,K20,I20)</f>
        <v>106.58333333333333</v>
      </c>
      <c r="O20" s="32">
        <f t="shared" si="4"/>
        <v>106.58333333333333</v>
      </c>
      <c r="Q20" s="112">
        <f t="shared" ref="Q20:Q83" si="8">Q19-($U$11)</f>
        <v>6.5833333333333339</v>
      </c>
      <c r="R20" s="32">
        <f t="shared" si="2"/>
        <v>6.5833333333333339</v>
      </c>
      <c r="S20" s="32">
        <f t="shared" si="3"/>
        <v>2560.000000000131</v>
      </c>
      <c r="U20" s="32">
        <f t="shared" si="5"/>
        <v>1</v>
      </c>
      <c r="W20" s="30" t="str" cm="1">
        <f t="array" ref="W20">IF($AO$21="INVERT",R20,IF(W19&gt;=$S$12,"",IF(R19="","",INDEX($R$18:$R$227,$U$17-ROWS($R$18:$R19)))))</f>
        <v/>
      </c>
      <c r="X20" s="30" t="str">
        <f t="shared" si="6"/>
        <v/>
      </c>
      <c r="Y20" s="30" t="str">
        <f>IF(Y19="","",IF($AO$21="TYP",IF(S19="","",INDEX($S$18:$S$227,$U$17-ROWS($S$18:$S19))),IF($AO$21="INVERT",S20,"")))</f>
        <v/>
      </c>
      <c r="Z20" s="75" t="str">
        <f t="shared" si="7"/>
        <v/>
      </c>
      <c r="AA20" s="67"/>
      <c r="AB20" s="242"/>
      <c r="AC20" s="242"/>
      <c r="AD20" s="242"/>
      <c r="AE20" s="242"/>
      <c r="AF20" s="242"/>
      <c r="AG20" s="193" t="b">
        <v>0</v>
      </c>
      <c r="AH20" s="180" t="s">
        <v>143</v>
      </c>
      <c r="AI20" s="185">
        <f>IFERROR(IF('Imperial Data'!B2,AL24,AK24),"")</f>
        <v>0</v>
      </c>
      <c r="AJ20" s="130"/>
      <c r="AK20" s="142" cm="1">
        <f t="array" ref="AK20">IF(INDEX($H$18:$H$200, MATCH($AI$18, $I$18:$I$200, -1)+1)="",0,INDEX($H$18:$H$200, MATCH($AI$18, $I$18:$I$200, -1)+1))</f>
        <v>0</v>
      </c>
      <c r="AL20" s="142" cm="1">
        <f t="array" ref="AL20">IF(INDEX($J$18:$J$200, MATCH($AI$18, $K$18:$K$200, -1)+1)="",0,INDEX($J$18:$J$200, MATCH($AI$18, $K$18:$K$200, -1)+1))</f>
        <v>0</v>
      </c>
      <c r="AM20" s="129"/>
      <c r="AO20" s="101" t="s">
        <v>39</v>
      </c>
      <c r="AQ20" s="32" t="s">
        <v>131</v>
      </c>
    </row>
    <row r="21" spans="1:43" x14ac:dyDescent="0.2">
      <c r="A21" s="32">
        <f t="shared" si="1"/>
        <v>21</v>
      </c>
      <c r="C21" s="35">
        <f>IF(OR(C20=1,C20=""),"",'Imperial Calcs'!B17)</f>
        <v>78</v>
      </c>
      <c r="D21" s="30">
        <f>IF(C21="","",'Imperial Calcs'!C17)</f>
        <v>0</v>
      </c>
      <c r="E21" s="30">
        <f>IF(OR(C20=1,C20=""),"",IF('Imperial Data'!$B$2,'Imperial Calcs'!D17,'Imperial Calcs'!E17))</f>
        <v>0</v>
      </c>
      <c r="F21" s="30">
        <f>IF(OR(C20=1,C20=""),"",IF('Imperial Data'!$B$2,'Imperial Calcs'!E17,'Imperial Calcs'!G17))</f>
        <v>0</v>
      </c>
      <c r="G21" s="30">
        <f>IF(OR(C20=1,C20=""),"",IF('Imperial Data'!$B$2,'Imperial Calcs'!F17,'Imperial Calcs'!J17))</f>
        <v>0</v>
      </c>
      <c r="H21" s="30">
        <f>IF(OR(C20=1,C20=""),"",IF('Imperial Data'!$B$2,'Imperial Calcs'!G17,'Imperial Calcs'!M17))</f>
        <v>213.33333333333331</v>
      </c>
      <c r="I21" s="30">
        <f>IF(C21="","",IF('Imperial Data'!$B$2,'Imperial Calcs'!J17,'Imperial Calcs'!Y17))</f>
        <v>213.33333333333331</v>
      </c>
      <c r="J21" s="30">
        <f>IF('Imperial Data'!$B$2,'Imperial Calcs'!M17,"")</f>
        <v>27431.384892799993</v>
      </c>
      <c r="K21" s="30">
        <f>IF('Imperial Data'!$B$2,'Imperial Calcs'!Y17,"")</f>
        <v>106.5</v>
      </c>
      <c r="L21" s="37">
        <f>IF('Imperial Data'!$B$2,J21,H21)</f>
        <v>27431.384892799993</v>
      </c>
      <c r="M21" s="112">
        <f>IF('Imperial Data'!$B$2,K21,I21)</f>
        <v>106.5</v>
      </c>
      <c r="O21" s="32">
        <f t="shared" si="4"/>
        <v>106.5</v>
      </c>
      <c r="Q21" s="112">
        <f t="shared" si="8"/>
        <v>6.5000000000000009</v>
      </c>
      <c r="R21" s="32">
        <f t="shared" si="2"/>
        <v>6.5000000000000009</v>
      </c>
      <c r="S21" s="32">
        <f t="shared" si="3"/>
        <v>2560.000000000131</v>
      </c>
      <c r="U21" s="32">
        <f t="shared" si="5"/>
        <v>1</v>
      </c>
      <c r="W21" s="30" t="str" cm="1">
        <f t="array" ref="W21">IF($AO$21="INVERT",R21,IF(W20&gt;=$S$12,"",IF(R20="","",INDEX($R$18:$R$227,$U$17-ROWS($R$18:$R20)))))</f>
        <v/>
      </c>
      <c r="X21" s="30" t="str">
        <f t="shared" si="6"/>
        <v/>
      </c>
      <c r="Y21" s="30" t="str">
        <f>IF(Y20="","",IF($AO$21="TYP",IF(S20="","",INDEX($S$18:$S$227,$U$17-ROWS($S$18:$S20))),IF($AO$21="INVERT",S21,"")))</f>
        <v/>
      </c>
      <c r="Z21" s="75" t="str">
        <f t="shared" si="7"/>
        <v/>
      </c>
      <c r="AA21" s="67"/>
      <c r="AB21" s="242"/>
      <c r="AC21" s="242"/>
      <c r="AD21" s="242"/>
      <c r="AE21" s="242"/>
      <c r="AF21" s="242"/>
      <c r="AG21" s="194"/>
      <c r="AI21" s="187"/>
      <c r="AJ21" s="130"/>
      <c r="AK21" s="143">
        <f>INDEX($I$18:$I$200, MATCH(AK19, $H$18:$H$200, 0))</f>
        <v>213.33333333333331</v>
      </c>
      <c r="AL21" s="143">
        <f>INDEX($K$18:$K$200, MATCH(AL19, $J$18:$J$200, 0))</f>
        <v>100.08333333333333</v>
      </c>
      <c r="AM21" s="129"/>
      <c r="AO21" s="32" t="str">
        <f>IF(AND(AO17,AO19=FALSE),"TYP",IF(AND(AO17,AO19),"INVERT",""))</f>
        <v/>
      </c>
      <c r="AQ21" s="32" t="b">
        <f>IF(C7="Number of End Caps -",ISEVEN(F7),TRUE)</f>
        <v>1</v>
      </c>
    </row>
    <row r="22" spans="1:43" x14ac:dyDescent="0.2">
      <c r="A22" s="32">
        <f t="shared" si="1"/>
        <v>22</v>
      </c>
      <c r="C22" s="35">
        <f>IF(OR(C21=1,C21=""),"",'Imperial Calcs'!B18)</f>
        <v>77</v>
      </c>
      <c r="D22" s="30">
        <f>IF(C22="","",'Imperial Calcs'!C18)</f>
        <v>0</v>
      </c>
      <c r="E22" s="30">
        <f>IF(OR(C21=1,C21=""),"",IF('Imperial Data'!$B$2,'Imperial Calcs'!D18,'Imperial Calcs'!E18))</f>
        <v>0</v>
      </c>
      <c r="F22" s="30">
        <f>IF(OR(C21=1,C21=""),"",IF('Imperial Data'!$B$2,'Imperial Calcs'!E18,'Imperial Calcs'!G18))</f>
        <v>0</v>
      </c>
      <c r="G22" s="30">
        <f>IF(OR(C21=1,C21=""),"",IF('Imperial Data'!$B$2,'Imperial Calcs'!F18,'Imperial Calcs'!J18))</f>
        <v>0</v>
      </c>
      <c r="H22" s="30">
        <f>IF(OR(C21=1,C21=""),"",IF('Imperial Data'!$B$2,'Imperial Calcs'!G18,'Imperial Calcs'!M18))</f>
        <v>213.33333333333331</v>
      </c>
      <c r="I22" s="30">
        <f>IF(C22="","",IF('Imperial Data'!$B$2,'Imperial Calcs'!J18,'Imperial Calcs'!Y18))</f>
        <v>213.33333333333331</v>
      </c>
      <c r="J22" s="30">
        <f>IF('Imperial Data'!$B$2,'Imperial Calcs'!M18,"")</f>
        <v>27218.051559466661</v>
      </c>
      <c r="K22" s="30">
        <f>IF('Imperial Data'!$B$2,'Imperial Calcs'!Y18,"")</f>
        <v>106.41666666666667</v>
      </c>
      <c r="L22" s="37">
        <f>IF('Imperial Data'!$B$2,J22,H22)</f>
        <v>27218.051559466661</v>
      </c>
      <c r="M22" s="112">
        <f>IF('Imperial Data'!$B$2,K22,I22)</f>
        <v>106.41666666666667</v>
      </c>
      <c r="O22" s="32">
        <f t="shared" si="4"/>
        <v>106.41666666666667</v>
      </c>
      <c r="Q22" s="112">
        <f t="shared" si="8"/>
        <v>6.4166666666666679</v>
      </c>
      <c r="R22" s="32">
        <f t="shared" si="2"/>
        <v>6.4166666666666679</v>
      </c>
      <c r="S22" s="32">
        <f t="shared" si="3"/>
        <v>2559.9999999996944</v>
      </c>
      <c r="U22" s="32">
        <f t="shared" si="5"/>
        <v>1</v>
      </c>
      <c r="W22" s="30" t="str" cm="1">
        <f t="array" ref="W22">IF($AO$21="INVERT",R22,IF(W21&gt;=$S$12,"",IF(R21="","",INDEX($R$18:$R$227,$U$17-ROWS($R$18:$R21)))))</f>
        <v/>
      </c>
      <c r="X22" s="30" t="str">
        <f t="shared" si="6"/>
        <v/>
      </c>
      <c r="Y22" s="30" t="str">
        <f>IF(Y21="","",IF($AO$21="TYP",IF(S21="","",INDEX($S$18:$S$227,$U$17-ROWS($S$18:$S21))),IF($AO$21="INVERT",S22,"")))</f>
        <v/>
      </c>
      <c r="Z22" s="75" t="str">
        <f t="shared" si="7"/>
        <v/>
      </c>
      <c r="AA22" s="67"/>
      <c r="AB22" s="242"/>
      <c r="AC22" s="242"/>
      <c r="AD22" s="242"/>
      <c r="AE22" s="242"/>
      <c r="AF22" s="242"/>
      <c r="AG22" s="193" t="b">
        <v>0</v>
      </c>
      <c r="AH22" s="179" t="s">
        <v>144</v>
      </c>
      <c r="AI22" s="185" t="str">
        <f>IF(AND(AI18&lt;&gt;"",AI24=""),AI20-0,IF(AND(AI24&lt;&gt;"",AI18=""),AI25,IF(AND(AI18="",AI24=""),"",IF(AND(AI18&lt;&gt;"",AI24&lt;&gt;""),AI20-AI26,IF('Imperial Data'!B2,J18,H18)))))</f>
        <v/>
      </c>
      <c r="AJ22" s="132"/>
      <c r="AK22" s="142">
        <f>IFERROR(INDEX($I$18:$I$200, MATCH(AK20, $H$18:$H$200, 0)), MIN($I$18:$I$200)-1/12)</f>
        <v>213.24999999999997</v>
      </c>
      <c r="AL22" s="142">
        <f>IFERROR(INDEX($K$18:$K$200, MATCH(AL20, $J$18:$J$200, 0)), MIN($K$18:$K$200)-1/12)</f>
        <v>100</v>
      </c>
      <c r="AM22" s="129"/>
    </row>
    <row r="23" spans="1:43" x14ac:dyDescent="0.2">
      <c r="A23" s="32">
        <f t="shared" si="1"/>
        <v>23</v>
      </c>
      <c r="C23" s="35">
        <f>IF(OR(C22=1,C22=""),"",'Imperial Calcs'!B19)</f>
        <v>76</v>
      </c>
      <c r="D23" s="30">
        <f>IF(C23="","",'Imperial Calcs'!C19)</f>
        <v>0</v>
      </c>
      <c r="E23" s="30">
        <f>IF(OR(C22=1,C22=""),"",IF('Imperial Data'!$B$2,'Imperial Calcs'!D19,'Imperial Calcs'!E19))</f>
        <v>0</v>
      </c>
      <c r="F23" s="30">
        <f>IF(OR(C22=1,C22=""),"",IF('Imperial Data'!$B$2,'Imperial Calcs'!E19,'Imperial Calcs'!G19))</f>
        <v>0</v>
      </c>
      <c r="G23" s="30">
        <f>IF(OR(C22=1,C22=""),"",IF('Imperial Data'!$B$2,'Imperial Calcs'!F19,'Imperial Calcs'!J19))</f>
        <v>0</v>
      </c>
      <c r="H23" s="30">
        <f>IF(OR(C22=1,C22=""),"",IF('Imperial Data'!$B$2,'Imperial Calcs'!G19,'Imperial Calcs'!M19))</f>
        <v>213.33333333333331</v>
      </c>
      <c r="I23" s="30">
        <f>IF(C23="","",IF('Imperial Data'!$B$2,'Imperial Calcs'!J19,'Imperial Calcs'!Y19))</f>
        <v>213.33333333333331</v>
      </c>
      <c r="J23" s="30">
        <f>IF('Imperial Data'!$B$2,'Imperial Calcs'!M19,"")</f>
        <v>27004.718226133329</v>
      </c>
      <c r="K23" s="30">
        <f>IF('Imperial Data'!$B$2,'Imperial Calcs'!Y19,"")</f>
        <v>106.33333333333333</v>
      </c>
      <c r="L23" s="37">
        <f>IF('Imperial Data'!$B$2,J23,H23)</f>
        <v>27004.718226133329</v>
      </c>
      <c r="M23" s="112">
        <f>IF('Imperial Data'!$B$2,K23,I23)</f>
        <v>106.33333333333333</v>
      </c>
      <c r="O23" s="32">
        <f t="shared" si="4"/>
        <v>106.33333333333333</v>
      </c>
      <c r="Q23" s="112">
        <f t="shared" si="8"/>
        <v>6.3333333333333348</v>
      </c>
      <c r="R23" s="32">
        <f t="shared" si="2"/>
        <v>6.3333333333333348</v>
      </c>
      <c r="S23" s="32">
        <f t="shared" si="3"/>
        <v>2560.000000000131</v>
      </c>
      <c r="U23" s="32">
        <f t="shared" si="5"/>
        <v>1</v>
      </c>
      <c r="W23" s="30" t="str" cm="1">
        <f t="array" ref="W23">IF($AO$21="INVERT",R23,IF(W22&gt;=$S$12,"",IF(R22="","",INDEX($R$18:$R$227,$U$17-ROWS($R$18:$R22)))))</f>
        <v/>
      </c>
      <c r="X23" s="30" t="str">
        <f t="shared" si="6"/>
        <v/>
      </c>
      <c r="Y23" s="30" t="str">
        <f>IF(Y22="","",IF($AO$21="TYP",IF(S22="","",INDEX($S$18:$S$227,$U$17-ROWS($S$18:$S22))),IF($AO$21="INVERT",S23,"")))</f>
        <v/>
      </c>
      <c r="Z23" s="75" t="str">
        <f t="shared" si="7"/>
        <v/>
      </c>
      <c r="AA23" s="67"/>
      <c r="AB23" s="242"/>
      <c r="AC23" s="242"/>
      <c r="AD23" s="242"/>
      <c r="AE23" s="242"/>
      <c r="AF23" s="242"/>
      <c r="AG23" s="194"/>
      <c r="AH23" s="180"/>
      <c r="AI23" s="184"/>
      <c r="AJ23" s="132"/>
      <c r="AK23" s="143">
        <f>(((ROUND(AK19,2)-ROUND(AK20,2))/(ROUND(AK21,2)-ROUND(AK22,2)))*(ROUND(AK21,2)-$AI$18)-ROUND(AK19,2))*-1</f>
        <v>-568657.78124991118</v>
      </c>
      <c r="AL23" s="143">
        <f>(((ROUND(AL19,2)-ROUND(AL20,2))/(ROUND(AL21,2)-ROUND(AL22,2)))*(ROUND(AL21,2)-$AI$18)-ROUND(AL19,2))*-1</f>
        <v>-266662.50000000565</v>
      </c>
      <c r="AM23" s="129"/>
      <c r="AQ23" s="101" t="s">
        <v>157</v>
      </c>
    </row>
    <row r="24" spans="1:43" x14ac:dyDescent="0.2">
      <c r="A24" s="32">
        <f t="shared" si="1"/>
        <v>24</v>
      </c>
      <c r="C24" s="35">
        <f>IF(OR(C23=1,C23=""),"",'Imperial Calcs'!B20)</f>
        <v>75</v>
      </c>
      <c r="D24" s="30">
        <f>IF(C24="","",'Imperial Calcs'!C20)</f>
        <v>0</v>
      </c>
      <c r="E24" s="30">
        <f>IF(OR(C23=1,C23=""),"",IF('Imperial Data'!$B$2,'Imperial Calcs'!D20,'Imperial Calcs'!E20))</f>
        <v>0</v>
      </c>
      <c r="F24" s="30">
        <f>IF(OR(C23=1,C23=""),"",IF('Imperial Data'!$B$2,'Imperial Calcs'!E20,'Imperial Calcs'!G20))</f>
        <v>0</v>
      </c>
      <c r="G24" s="30">
        <f>IF(OR(C23=1,C23=""),"",IF('Imperial Data'!$B$2,'Imperial Calcs'!F20,'Imperial Calcs'!J20))</f>
        <v>0</v>
      </c>
      <c r="H24" s="30">
        <f>IF(OR(C23=1,C23=""),"",IF('Imperial Data'!$B$2,'Imperial Calcs'!G20,'Imperial Calcs'!M20))</f>
        <v>213.33333333333331</v>
      </c>
      <c r="I24" s="30">
        <f>IF(C24="","",IF('Imperial Data'!$B$2,'Imperial Calcs'!J20,'Imperial Calcs'!Y20))</f>
        <v>213.33333333333331</v>
      </c>
      <c r="J24" s="30">
        <f>IF('Imperial Data'!$B$2,'Imperial Calcs'!M20,"")</f>
        <v>26791.384892799997</v>
      </c>
      <c r="K24" s="30">
        <f>IF('Imperial Data'!$B$2,'Imperial Calcs'!Y20,"")</f>
        <v>106.25</v>
      </c>
      <c r="L24" s="37">
        <f>IF('Imperial Data'!$B$2,J24,H24)</f>
        <v>26791.384892799997</v>
      </c>
      <c r="M24" s="112">
        <f>IF('Imperial Data'!$B$2,K24,I24)</f>
        <v>106.25</v>
      </c>
      <c r="N24" s="37"/>
      <c r="O24" s="32">
        <f t="shared" si="4"/>
        <v>106.25</v>
      </c>
      <c r="Q24" s="112">
        <f t="shared" si="8"/>
        <v>6.2500000000000018</v>
      </c>
      <c r="R24" s="32">
        <f t="shared" si="2"/>
        <v>6.2500000000000018</v>
      </c>
      <c r="S24" s="32">
        <f t="shared" si="3"/>
        <v>2560.000000000131</v>
      </c>
      <c r="U24" s="32">
        <f t="shared" si="5"/>
        <v>1</v>
      </c>
      <c r="W24" s="30" t="str" cm="1">
        <f t="array" ref="W24">IF($AO$21="INVERT",R24,IF(W23&gt;=$S$12,"",IF(R23="","",INDEX($R$18:$R$227,$U$17-ROWS($R$18:$R23)))))</f>
        <v/>
      </c>
      <c r="X24" s="30" t="str">
        <f t="shared" si="6"/>
        <v/>
      </c>
      <c r="Y24" s="30" t="str">
        <f>IF(Y23="","",IF($AO$21="TYP",IF(S23="","",INDEX($S$18:$S$227,$U$17-ROWS($S$18:$S23))),IF($AO$21="INVERT",S24,"")))</f>
        <v/>
      </c>
      <c r="Z24" s="75" t="str">
        <f t="shared" si="7"/>
        <v/>
      </c>
      <c r="AA24" s="67"/>
      <c r="AB24" s="175" t="str">
        <f>"Volume above elevation "&amp;AI18&amp;" = "&amp;ROUND(AI19,2)</f>
        <v>Volume above elevation  = 28071.38</v>
      </c>
      <c r="AC24" s="88"/>
      <c r="AD24" s="88"/>
      <c r="AE24" s="88"/>
      <c r="AF24" s="88"/>
      <c r="AG24" s="195"/>
      <c r="AH24" s="181" t="s">
        <v>145</v>
      </c>
      <c r="AI24" s="188"/>
      <c r="AJ24" s="146"/>
      <c r="AK24" s="147">
        <f>ROUND(MAX(IFERROR(AK23,AK18),0),2)</f>
        <v>0</v>
      </c>
      <c r="AL24" s="147">
        <f>ROUND(MAX(IFERROR(AL23,AL18),0),2)</f>
        <v>0</v>
      </c>
      <c r="AM24" s="88"/>
      <c r="AQ24" s="214">
        <f>ROUND(1/12,2)-0.001</f>
        <v>7.9000000000000001E-2</v>
      </c>
    </row>
    <row r="25" spans="1:43" x14ac:dyDescent="0.2">
      <c r="A25" s="32">
        <f t="shared" si="1"/>
        <v>25</v>
      </c>
      <c r="C25" s="35">
        <f>IF(OR(C24=1,C24=""),"",'Imperial Calcs'!B21)</f>
        <v>74</v>
      </c>
      <c r="D25" s="30">
        <f>IF(C25="","",'Imperial Calcs'!C21)</f>
        <v>0</v>
      </c>
      <c r="E25" s="30">
        <f>IF(OR(C24=1,C24=""),"",IF('Imperial Data'!$B$2,'Imperial Calcs'!D21,'Imperial Calcs'!E21))</f>
        <v>0</v>
      </c>
      <c r="F25" s="30">
        <f>IF(OR(C24=1,C24=""),"",IF('Imperial Data'!$B$2,'Imperial Calcs'!E21,'Imperial Calcs'!G21))</f>
        <v>0</v>
      </c>
      <c r="G25" s="30">
        <f>IF(OR(C24=1,C24=""),"",IF('Imperial Data'!$B$2,'Imperial Calcs'!F21,'Imperial Calcs'!J21))</f>
        <v>0</v>
      </c>
      <c r="H25" s="30">
        <f>IF(OR(C24=1,C24=""),"",IF('Imperial Data'!$B$2,'Imperial Calcs'!G21,'Imperial Calcs'!M21))</f>
        <v>213.33333333333331</v>
      </c>
      <c r="I25" s="30">
        <f>IF(C25="","",IF('Imperial Data'!$B$2,'Imperial Calcs'!J21,'Imperial Calcs'!Y21))</f>
        <v>213.33333333333331</v>
      </c>
      <c r="J25" s="30">
        <f>IF('Imperial Data'!$B$2,'Imperial Calcs'!M21,"")</f>
        <v>26578.051559466665</v>
      </c>
      <c r="K25" s="30">
        <f>IF('Imperial Data'!$B$2,'Imperial Calcs'!Y21,"")</f>
        <v>106.16666666666667</v>
      </c>
      <c r="L25" s="37">
        <f>IF('Imperial Data'!$B$2,J25,H25)</f>
        <v>26578.051559466665</v>
      </c>
      <c r="M25" s="112">
        <f>IF('Imperial Data'!$B$2,K25,I25)</f>
        <v>106.16666666666667</v>
      </c>
      <c r="O25" s="32">
        <f t="shared" si="4"/>
        <v>106.16666666666667</v>
      </c>
      <c r="Q25" s="112">
        <f t="shared" si="8"/>
        <v>6.1666666666666687</v>
      </c>
      <c r="R25" s="32">
        <f t="shared" si="2"/>
        <v>6.1666666666666687</v>
      </c>
      <c r="S25" s="32">
        <f t="shared" si="3"/>
        <v>2559.9999999996944</v>
      </c>
      <c r="U25" s="32">
        <f t="shared" si="5"/>
        <v>1</v>
      </c>
      <c r="W25" s="30" t="str" cm="1">
        <f t="array" ref="W25">IF($AO$21="INVERT",R25,IF(W24&gt;=$S$12,"",IF(R24="","",INDEX($R$18:$R$227,$U$17-ROWS($R$18:$R24)))))</f>
        <v/>
      </c>
      <c r="X25" s="30" t="str">
        <f t="shared" si="6"/>
        <v/>
      </c>
      <c r="Y25" s="30" t="str">
        <f>IF(Y24="","",IF($AO$21="TYP",IF(S24="","",INDEX($S$18:$S$227,$U$17-ROWS($S$18:$S24))),IF($AO$21="INVERT",S25,"")))</f>
        <v/>
      </c>
      <c r="Z25" s="75" t="str">
        <f t="shared" si="7"/>
        <v/>
      </c>
      <c r="AA25" s="67"/>
      <c r="AB25" s="175" t="str">
        <f>"Volume below elevation "&amp;AI18&amp;" = "&amp;ROUND(AI20,2)</f>
        <v>Volume below elevation  = 0</v>
      </c>
      <c r="AC25" s="88"/>
      <c r="AD25" s="88"/>
      <c r="AE25" s="88"/>
      <c r="AF25" s="88"/>
      <c r="AG25" s="193" t="b">
        <v>0</v>
      </c>
      <c r="AH25" s="182" t="s">
        <v>146</v>
      </c>
      <c r="AI25" s="185">
        <f>IFERROR(IF('Imperial Data'!B2,$J$18-AI26,$H$18-AI26),"")</f>
        <v>28071.38489279999</v>
      </c>
      <c r="AJ25" s="146"/>
      <c r="AK25" s="148" t="s">
        <v>129</v>
      </c>
      <c r="AL25" s="149"/>
      <c r="AM25" s="88"/>
    </row>
    <row r="26" spans="1:43" ht="13.5" thickBot="1" x14ac:dyDescent="0.25">
      <c r="A26" s="32">
        <f t="shared" si="1"/>
        <v>26</v>
      </c>
      <c r="C26" s="35">
        <f>IF(OR(C25=1,C25=""),"",'Imperial Calcs'!B22)</f>
        <v>73</v>
      </c>
      <c r="D26" s="30">
        <f>IF(C26="","",'Imperial Calcs'!C22)</f>
        <v>0</v>
      </c>
      <c r="E26" s="30">
        <f>IF(OR(C25=1,C25=""),"",IF('Imperial Data'!$B$2,'Imperial Calcs'!D22,'Imperial Calcs'!E22))</f>
        <v>0</v>
      </c>
      <c r="F26" s="30">
        <f>IF(OR(C25=1,C25=""),"",IF('Imperial Data'!$B$2,'Imperial Calcs'!E22,'Imperial Calcs'!G22))</f>
        <v>0</v>
      </c>
      <c r="G26" s="30">
        <f>IF(OR(C25=1,C25=""),"",IF('Imperial Data'!$B$2,'Imperial Calcs'!F22,'Imperial Calcs'!J22))</f>
        <v>0</v>
      </c>
      <c r="H26" s="30">
        <f>IF(OR(C25=1,C25=""),"",IF('Imperial Data'!$B$2,'Imperial Calcs'!G22,'Imperial Calcs'!M22))</f>
        <v>213.33333333333331</v>
      </c>
      <c r="I26" s="30">
        <f>IF(C26="","",IF('Imperial Data'!$B$2,'Imperial Calcs'!J22,'Imperial Calcs'!Y22))</f>
        <v>213.33333333333331</v>
      </c>
      <c r="J26" s="30">
        <f>IF('Imperial Data'!$B$2,'Imperial Calcs'!M22,"")</f>
        <v>26364.718226133333</v>
      </c>
      <c r="K26" s="30">
        <f>IF('Imperial Data'!$B$2,'Imperial Calcs'!Y22,"")</f>
        <v>106.08333333333333</v>
      </c>
      <c r="L26" s="37">
        <f>IF('Imperial Data'!$B$2,J26,H26)</f>
        <v>26364.718226133333</v>
      </c>
      <c r="M26" s="112">
        <f>IF('Imperial Data'!$B$2,K26,I26)</f>
        <v>106.08333333333333</v>
      </c>
      <c r="O26" s="32">
        <f t="shared" si="4"/>
        <v>106.08333333333333</v>
      </c>
      <c r="Q26" s="112">
        <f t="shared" si="8"/>
        <v>6.0833333333333357</v>
      </c>
      <c r="R26" s="32">
        <f t="shared" si="2"/>
        <v>6.0833333333333357</v>
      </c>
      <c r="S26" s="32">
        <f t="shared" si="3"/>
        <v>2560.000000000131</v>
      </c>
      <c r="U26" s="32">
        <f t="shared" si="5"/>
        <v>1</v>
      </c>
      <c r="W26" s="30" t="str" cm="1">
        <f t="array" ref="W26">IF($AO$21="INVERT",R26,IF(W25&gt;=$S$12,"",IF(R25="","",INDEX($R$18:$R$227,$U$17-ROWS($R$18:$R25)))))</f>
        <v/>
      </c>
      <c r="X26" s="30" t="str">
        <f t="shared" si="6"/>
        <v/>
      </c>
      <c r="Y26" s="30" t="str">
        <f>IF(Y25="","",IF($AO$21="TYP",IF(S25="","",INDEX($S$18:$S$227,$U$17-ROWS($S$18:$S25))),IF($AO$21="INVERT",S26,"")))</f>
        <v/>
      </c>
      <c r="Z26" s="75" t="str">
        <f t="shared" si="7"/>
        <v/>
      </c>
      <c r="AA26" s="67"/>
      <c r="AB26" s="175" t="str">
        <f>"Volume between elevations "&amp;AI18&amp;" and "&amp;AI24&amp;" = "&amp;AI22</f>
        <v xml:space="preserve">Volume between elevations  and  = </v>
      </c>
      <c r="AC26" s="88"/>
      <c r="AD26" s="88"/>
      <c r="AE26" s="88"/>
      <c r="AF26" s="88"/>
      <c r="AG26" s="196" t="b">
        <v>0</v>
      </c>
      <c r="AH26" s="197" t="s">
        <v>147</v>
      </c>
      <c r="AI26" s="189">
        <f>IFERROR(IF('Imperial Data'!B2,AL33,AK33),"")</f>
        <v>0</v>
      </c>
      <c r="AJ26" s="146"/>
      <c r="AK26" s="150" t="s">
        <v>126</v>
      </c>
      <c r="AL26" s="139" t="s">
        <v>127</v>
      </c>
      <c r="AM26" s="88"/>
    </row>
    <row r="27" spans="1:43" x14ac:dyDescent="0.2">
      <c r="A27" s="32">
        <f t="shared" si="1"/>
        <v>27</v>
      </c>
      <c r="C27" s="35">
        <f>IF(OR(C26=1,C26=""),"",'Imperial Calcs'!B23)</f>
        <v>72</v>
      </c>
      <c r="D27" s="30">
        <f>IF(C27="","",'Imperial Calcs'!C23)</f>
        <v>0</v>
      </c>
      <c r="E27" s="30">
        <f>IF(OR(C26=1,C26=""),"",IF('Imperial Data'!$B$2,'Imperial Calcs'!D23,'Imperial Calcs'!E23))</f>
        <v>0</v>
      </c>
      <c r="F27" s="30">
        <f>IF(OR(C26=1,C26=""),"",IF('Imperial Data'!$B$2,'Imperial Calcs'!E23,'Imperial Calcs'!G23))</f>
        <v>0</v>
      </c>
      <c r="G27" s="30">
        <f>IF(OR(C26=1,C26=""),"",IF('Imperial Data'!$B$2,'Imperial Calcs'!F23,'Imperial Calcs'!J23))</f>
        <v>0</v>
      </c>
      <c r="H27" s="30">
        <f>IF(OR(C26=1,C26=""),"",IF('Imperial Data'!$B$2,'Imperial Calcs'!G23,'Imperial Calcs'!M23))</f>
        <v>213.33333333333331</v>
      </c>
      <c r="I27" s="30">
        <f>IF(C27="","",IF('Imperial Data'!$B$2,'Imperial Calcs'!J23,'Imperial Calcs'!Y23))</f>
        <v>213.33333333333331</v>
      </c>
      <c r="J27" s="30">
        <f>IF('Imperial Data'!$B$2,'Imperial Calcs'!M23,"")</f>
        <v>26151.384892800001</v>
      </c>
      <c r="K27" s="30">
        <f>IF('Imperial Data'!$B$2,'Imperial Calcs'!Y23,"")</f>
        <v>106</v>
      </c>
      <c r="L27" s="37">
        <f>IF('Imperial Data'!$B$2,J27,H27)</f>
        <v>26151.384892800001</v>
      </c>
      <c r="M27" s="112">
        <f>IF('Imperial Data'!$B$2,K27,I27)</f>
        <v>106</v>
      </c>
      <c r="O27" s="32">
        <f t="shared" si="4"/>
        <v>106</v>
      </c>
      <c r="Q27" s="112">
        <f t="shared" si="8"/>
        <v>6.0000000000000027</v>
      </c>
      <c r="R27" s="32">
        <f t="shared" si="2"/>
        <v>6.0000000000000027</v>
      </c>
      <c r="S27" s="32">
        <f t="shared" si="3"/>
        <v>2560.000000000131</v>
      </c>
      <c r="U27" s="32">
        <f t="shared" si="5"/>
        <v>1</v>
      </c>
      <c r="W27" s="30" t="str" cm="1">
        <f t="array" ref="W27">IF($AO$21="INVERT",R27,IF(W26&gt;=$S$12,"",IF(R26="","",INDEX($R$18:$R$227,$U$17-ROWS($R$18:$R26)))))</f>
        <v/>
      </c>
      <c r="X27" s="30" t="str">
        <f t="shared" si="6"/>
        <v/>
      </c>
      <c r="Y27" s="30" t="str">
        <f>IF(Y26="","",IF($AO$21="TYP",IF(S26="","",INDEX($S$18:$S$227,$U$17-ROWS($S$18:$S26))),IF($AO$21="INVERT",S27,"")))</f>
        <v/>
      </c>
      <c r="Z27" s="75" t="str">
        <f t="shared" si="7"/>
        <v/>
      </c>
      <c r="AA27" s="67"/>
      <c r="AB27" s="175" t="str">
        <f>"Volume above elevation "&amp;AI24&amp;" = "&amp;ROUND(AI25,2)</f>
        <v>Volume above elevation  = 28071.38</v>
      </c>
      <c r="AC27" s="88"/>
      <c r="AD27" s="88"/>
      <c r="AE27" s="88"/>
      <c r="AF27" s="88"/>
      <c r="AG27" s="211"/>
      <c r="AI27" s="199"/>
      <c r="AJ27" s="146"/>
      <c r="AK27" s="151" t="e">
        <f>INDEX($H$18:$H$200, MATCH($AI$24, $I$18:$I$200, 0))</f>
        <v>#N/A</v>
      </c>
      <c r="AL27" s="151" t="e">
        <f>INDEX($J$18:$J$200, MATCH($AI$24, $K$18:$K$200, 0))</f>
        <v>#N/A</v>
      </c>
      <c r="AM27" s="88"/>
    </row>
    <row r="28" spans="1:43" x14ac:dyDescent="0.2">
      <c r="A28" s="32">
        <f t="shared" si="1"/>
        <v>28</v>
      </c>
      <c r="C28" s="274">
        <f>IF(OR(C27=1,C27=""),"",'Imperial Calcs'!B24)</f>
        <v>71</v>
      </c>
      <c r="D28" s="275">
        <f>IF(C28="","",'Imperial Calcs'!C24)</f>
        <v>0</v>
      </c>
      <c r="E28" s="275">
        <f>IF(OR(C27=1,C27=""),"",IF('Imperial Data'!$B$2,'Imperial Calcs'!D24,'Imperial Calcs'!E24))</f>
        <v>0</v>
      </c>
      <c r="F28" s="275">
        <f>IF(OR(C27=1,C27=""),"",IF('Imperial Data'!$B$2,'Imperial Calcs'!E24,'Imperial Calcs'!G24))</f>
        <v>0</v>
      </c>
      <c r="G28" s="275">
        <f>IF(OR(C27=1,C27=""),"",IF('Imperial Data'!$B$2,'Imperial Calcs'!F24,'Imperial Calcs'!J24))</f>
        <v>0</v>
      </c>
      <c r="H28" s="275">
        <f>IF(OR(C27=1,C27=""),"",IF('Imperial Data'!$B$2,'Imperial Calcs'!G24,'Imperial Calcs'!M24))</f>
        <v>213.33333333333331</v>
      </c>
      <c r="I28" s="275">
        <f>IF(C28="","",IF('Imperial Data'!$B$2,'Imperial Calcs'!J24,'Imperial Calcs'!Y24))</f>
        <v>213.33333333333331</v>
      </c>
      <c r="J28" s="30">
        <f>IF('Imperial Data'!$B$2,'Imperial Calcs'!M24,"")</f>
        <v>25938.051559466669</v>
      </c>
      <c r="K28" s="30">
        <f>IF('Imperial Data'!$B$2,'Imperial Calcs'!Y24,"")</f>
        <v>105.91666666666667</v>
      </c>
      <c r="L28" s="37">
        <f>IF('Imperial Data'!$B$2,J28,H28)</f>
        <v>25938.051559466669</v>
      </c>
      <c r="M28" s="112">
        <f>IF('Imperial Data'!$B$2,K28,I28)</f>
        <v>105.91666666666667</v>
      </c>
      <c r="O28" s="32">
        <f t="shared" si="4"/>
        <v>105.91666666666667</v>
      </c>
      <c r="Q28" s="112">
        <f t="shared" si="8"/>
        <v>5.9166666666666696</v>
      </c>
      <c r="R28" s="32">
        <f t="shared" si="2"/>
        <v>5.9166666666666696</v>
      </c>
      <c r="S28" s="32">
        <f t="shared" si="3"/>
        <v>2559.9999999996944</v>
      </c>
      <c r="U28" s="32">
        <f t="shared" si="5"/>
        <v>1</v>
      </c>
      <c r="W28" s="30" t="str" cm="1">
        <f t="array" ref="W28">IF($AO$21="INVERT",R28,IF(W27&gt;=$S$12,"",IF(R27="","",INDEX($R$18:$R$227,$U$17-ROWS($R$18:$R27)))))</f>
        <v/>
      </c>
      <c r="X28" s="30" t="str">
        <f t="shared" si="6"/>
        <v/>
      </c>
      <c r="Y28" s="30" t="str">
        <f>IF(Y27="","",IF($AO$21="TYP",IF(S27="","",INDEX($S$18:$S$227,$U$17-ROWS($S$18:$S27))),IF($AO$21="INVERT",S28,"")))</f>
        <v/>
      </c>
      <c r="Z28" s="75" t="str">
        <f t="shared" si="7"/>
        <v/>
      </c>
      <c r="AA28" s="67"/>
      <c r="AB28" s="175" t="str">
        <f>"Volume below elevation "&amp;AI24&amp;" = "&amp;ROUND(AI26,2)</f>
        <v>Volume below elevation  = 0</v>
      </c>
      <c r="AC28" s="88"/>
      <c r="AD28" s="88"/>
      <c r="AE28" s="88"/>
      <c r="AF28" s="88"/>
      <c r="AK28" s="152">
        <f>INDEX($H$18:$H$200, MATCH(AI24, $I$18:$I$200, -1))</f>
        <v>213.33333333333331</v>
      </c>
      <c r="AL28" s="152">
        <f>INDEX($J$18:$J$200, MATCH(AI24, $K$18:$K$200, -1))</f>
        <v>213.33333333333331</v>
      </c>
      <c r="AM28" s="88"/>
    </row>
    <row r="29" spans="1:43" ht="13.5" thickBot="1" x14ac:dyDescent="0.25">
      <c r="A29" s="32">
        <f t="shared" si="1"/>
        <v>29</v>
      </c>
      <c r="C29" s="35">
        <f>IF(OR(C28=1,C28=""),"",'Imperial Calcs'!B25)</f>
        <v>70</v>
      </c>
      <c r="D29" s="30">
        <f>IF(C29="","",'Imperial Calcs'!C25)</f>
        <v>0</v>
      </c>
      <c r="E29" s="30">
        <f>IF(OR(C28=1,C28=""),"",IF('Imperial Data'!$B$2,'Imperial Calcs'!D25,'Imperial Calcs'!E25))</f>
        <v>0</v>
      </c>
      <c r="F29" s="30">
        <f>IF(OR(C28=1,C28=""),"",IF('Imperial Data'!$B$2,'Imperial Calcs'!E25,'Imperial Calcs'!G25))</f>
        <v>0</v>
      </c>
      <c r="G29" s="30">
        <f>IF(OR(C28=1,C28=""),"",IF('Imperial Data'!$B$2,'Imperial Calcs'!F25,'Imperial Calcs'!J25))</f>
        <v>0</v>
      </c>
      <c r="H29" s="30">
        <f>IF(OR(C28=1,C28=""),"",IF('Imperial Data'!$B$2,'Imperial Calcs'!G25,'Imperial Calcs'!M25))</f>
        <v>213.33333333333331</v>
      </c>
      <c r="I29" s="30">
        <f>IF(C29="","",IF('Imperial Data'!$B$2,'Imperial Calcs'!J25,'Imperial Calcs'!Y25))</f>
        <v>213.33333333333331</v>
      </c>
      <c r="J29" s="30">
        <f>IF('Imperial Data'!$B$2,'Imperial Calcs'!M25,"")</f>
        <v>25724.718226133336</v>
      </c>
      <c r="K29" s="30">
        <f>IF('Imperial Data'!$B$2,'Imperial Calcs'!Y25,"")</f>
        <v>105.83333333333333</v>
      </c>
      <c r="L29" s="37">
        <f>IF('Imperial Data'!$B$2,J29,H29)</f>
        <v>25724.718226133336</v>
      </c>
      <c r="M29" s="112">
        <f>IF('Imperial Data'!$B$2,K29,I29)</f>
        <v>105.83333333333333</v>
      </c>
      <c r="O29" s="32">
        <f t="shared" si="4"/>
        <v>105.83333333333333</v>
      </c>
      <c r="Q29" s="112">
        <f t="shared" si="8"/>
        <v>5.8333333333333366</v>
      </c>
      <c r="R29" s="32">
        <f t="shared" si="2"/>
        <v>5.8333333333333366</v>
      </c>
      <c r="S29" s="32">
        <f t="shared" si="3"/>
        <v>2560.000000000131</v>
      </c>
      <c r="U29" s="32">
        <f t="shared" si="5"/>
        <v>1</v>
      </c>
      <c r="W29" s="30" t="str" cm="1">
        <f t="array" ref="W29">IF($AO$21="INVERT",R29,IF(W28&gt;=$S$12,"",IF(R28="","",INDEX($R$18:$R$227,$U$17-ROWS($R$18:$R28)))))</f>
        <v/>
      </c>
      <c r="X29" s="30" t="str">
        <f t="shared" si="6"/>
        <v/>
      </c>
      <c r="Y29" s="30" t="str">
        <f>IF(Y28="","",IF($AO$21="TYP",IF(S28="","",INDEX($S$18:$S$227,$U$17-ROWS($S$18:$S28))),IF($AO$21="INVERT",S29,"")))</f>
        <v/>
      </c>
      <c r="Z29" s="75" t="str">
        <f t="shared" si="7"/>
        <v/>
      </c>
      <c r="AA29" s="67"/>
      <c r="AB29" s="175" t="str">
        <f>AH34&amp;" "&amp;AI34</f>
        <v>Target Volume achieved at Elevation 100</v>
      </c>
      <c r="AC29" s="88"/>
      <c r="AD29" s="88"/>
      <c r="AE29" s="88"/>
      <c r="AF29" s="88"/>
      <c r="AG29" s="101" t="s">
        <v>154</v>
      </c>
      <c r="AK29" s="152" cm="1">
        <f t="array" ref="AK29">IF(INDEX($H$18:$H$200, MATCH($AI$24, $I$18:$I$200, -1)+1)="",0,INDEX($H$18:$H$200, MATCH($AI$24, $I$18:$I$200, -1)+1))</f>
        <v>0</v>
      </c>
      <c r="AL29" s="152" cm="1">
        <f t="array" ref="AL29">IF(INDEX($J$18:$J$200, MATCH($AI$24, $K$18:$K$200, -1)+1)="",0,INDEX($J$18:$J$200, MATCH($AI$24, $K$18:$K$200, -1)+1))</f>
        <v>0</v>
      </c>
      <c r="AM29" s="88"/>
    </row>
    <row r="30" spans="1:43" x14ac:dyDescent="0.2">
      <c r="A30" s="32">
        <f t="shared" si="1"/>
        <v>30</v>
      </c>
      <c r="C30" s="35">
        <f>IF(OR(C29=1,C29=""),"",'Imperial Calcs'!B26)</f>
        <v>69</v>
      </c>
      <c r="D30" s="30">
        <f>IF(C30="","",'Imperial Calcs'!C26)</f>
        <v>5.9375960000011219E-2</v>
      </c>
      <c r="E30" s="30">
        <f>IF(OR(C29=1,C29=""),"",IF('Imperial Data'!$B$2,'Imperial Calcs'!D26,'Imperial Calcs'!E26))</f>
        <v>1.3020879999999124E-2</v>
      </c>
      <c r="F30" s="30">
        <f>IF(OR(C29=1,C29=""),"",IF('Imperial Data'!$B$2,'Imperial Calcs'!E26,'Imperial Calcs'!G26))</f>
        <v>5.9375960000011219</v>
      </c>
      <c r="G30" s="30">
        <f>IF(OR(C29=1,C29=""),"",IF('Imperial Data'!$B$2,'Imperial Calcs'!F26,'Imperial Calcs'!J26))</f>
        <v>0.13020879999999124</v>
      </c>
      <c r="H30" s="30">
        <f>IF(OR(C29=1,C29=""),"",IF('Imperial Data'!$B$2,'Imperial Calcs'!G26,'Imperial Calcs'!M26))</f>
        <v>210.90621141333287</v>
      </c>
      <c r="I30" s="30">
        <f>IF(C30="","",IF('Imperial Data'!$B$2,'Imperial Calcs'!J26,'Imperial Calcs'!Y26))</f>
        <v>216.97401621333398</v>
      </c>
      <c r="J30" s="30">
        <f>IF('Imperial Data'!$B$2,'Imperial Calcs'!M26,"")</f>
        <v>25511.384892800004</v>
      </c>
      <c r="K30" s="30">
        <f>IF('Imperial Data'!$B$2,'Imperial Calcs'!Y26,"")</f>
        <v>105.75</v>
      </c>
      <c r="L30" s="37">
        <f>IF('Imperial Data'!$B$2,J30,H30)</f>
        <v>25511.384892800004</v>
      </c>
      <c r="M30" s="112">
        <f>IF('Imperial Data'!$B$2,K30,I30)</f>
        <v>105.75</v>
      </c>
      <c r="O30" s="32">
        <f t="shared" si="4"/>
        <v>105.75</v>
      </c>
      <c r="Q30" s="112">
        <f t="shared" si="8"/>
        <v>5.7500000000000036</v>
      </c>
      <c r="R30" s="32">
        <f t="shared" si="2"/>
        <v>5.7500000000000036</v>
      </c>
      <c r="S30" s="32">
        <f t="shared" si="3"/>
        <v>2603.6881945601658</v>
      </c>
      <c r="U30" s="32">
        <f t="shared" si="5"/>
        <v>1</v>
      </c>
      <c r="W30" s="30" t="str" cm="1">
        <f t="array" ref="W30">IF($AO$21="INVERT",R30,IF(W29&gt;=$S$12,"",IF(R29="","",INDEX($R$18:$R$227,$U$17-ROWS($R$18:$R29)))))</f>
        <v/>
      </c>
      <c r="X30" s="30" t="str">
        <f t="shared" si="6"/>
        <v/>
      </c>
      <c r="Y30" s="30" t="str">
        <f>IF(Y29="","",IF($AO$21="TYP",IF(S29="","",INDEX($S$18:$S$227,$U$17-ROWS($S$18:$S29))),IF($AO$21="INVERT",S30,"")))</f>
        <v/>
      </c>
      <c r="Z30" s="75" t="str">
        <f t="shared" si="7"/>
        <v/>
      </c>
      <c r="AA30" s="67"/>
      <c r="AB30" s="175" t="str">
        <f>AH44&amp;" "&amp;AI44</f>
        <v xml:space="preserve">Target Volume achieved at Elevation </v>
      </c>
      <c r="AC30" s="88"/>
      <c r="AD30" s="88"/>
      <c r="AE30" s="88"/>
      <c r="AF30" s="88"/>
      <c r="AG30" s="198"/>
      <c r="AH30" s="200" t="s">
        <v>139</v>
      </c>
      <c r="AI30" s="201"/>
      <c r="AJ30" s="146"/>
      <c r="AK30" s="152">
        <f>INDEX($I$18:$I$200, MATCH(AK28, $H$18:$H$200, 0))</f>
        <v>213.33333333333331</v>
      </c>
      <c r="AL30" s="152">
        <f>INDEX($K$18:$K$200, MATCH(AL28, $J$18:$J$200, 0))</f>
        <v>100.08333333333333</v>
      </c>
      <c r="AM30" s="88"/>
    </row>
    <row r="31" spans="1:43" x14ac:dyDescent="0.2">
      <c r="A31" s="32">
        <f t="shared" si="1"/>
        <v>31</v>
      </c>
      <c r="C31" s="35">
        <f>IF(OR(C30=1,C30=""),"",'Imperial Calcs'!B27)</f>
        <v>68</v>
      </c>
      <c r="D31" s="30">
        <f>IF(C31="","",'Imperial Calcs'!C27)</f>
        <v>0.19017919000000916</v>
      </c>
      <c r="E31" s="30">
        <f>IF(OR(C30=1,C30=""),"",IF('Imperial Data'!$B$2,'Imperial Calcs'!D27,'Imperial Calcs'!E27))</f>
        <v>3.3912879999995482E-2</v>
      </c>
      <c r="F31" s="30">
        <f>IF(OR(C30=1,C30=""),"",IF('Imperial Data'!$B$2,'Imperial Calcs'!E27,'Imperial Calcs'!G27))</f>
        <v>19.017919000000916</v>
      </c>
      <c r="G31" s="30">
        <f>IF(OR(C30=1,C30=""),"",IF('Imperial Data'!$B$2,'Imperial Calcs'!F27,'Imperial Calcs'!J27))</f>
        <v>0.33912879999995482</v>
      </c>
      <c r="H31" s="30">
        <f>IF(OR(C30=1,C30=""),"",IF('Imperial Data'!$B$2,'Imperial Calcs'!G27,'Imperial Calcs'!M27))</f>
        <v>205.59051421333299</v>
      </c>
      <c r="I31" s="30">
        <f>IF(C31="","",IF('Imperial Data'!$B$2,'Imperial Calcs'!J27,'Imperial Calcs'!Y27))</f>
        <v>224.94756201333388</v>
      </c>
      <c r="J31" s="30">
        <f>IF('Imperial Data'!$B$2,'Imperial Calcs'!M27,"")</f>
        <v>25294.410876586669</v>
      </c>
      <c r="K31" s="30">
        <f>IF('Imperial Data'!$B$2,'Imperial Calcs'!Y27,"")</f>
        <v>105.66666666666667</v>
      </c>
      <c r="L31" s="37">
        <f>IF('Imperial Data'!$B$2,J31,H31)</f>
        <v>25294.410876586669</v>
      </c>
      <c r="M31" s="112">
        <f>IF('Imperial Data'!$B$2,K31,I31)</f>
        <v>105.66666666666667</v>
      </c>
      <c r="O31" s="32">
        <f t="shared" si="4"/>
        <v>105.66666666666667</v>
      </c>
      <c r="Q31" s="112">
        <f t="shared" si="8"/>
        <v>5.6666666666666705</v>
      </c>
      <c r="R31" s="32">
        <f t="shared" si="2"/>
        <v>5.6666666666666705</v>
      </c>
      <c r="S31" s="32">
        <f t="shared" si="3"/>
        <v>2699.3707441597057</v>
      </c>
      <c r="U31" s="32">
        <f t="shared" si="5"/>
        <v>1</v>
      </c>
      <c r="W31" s="30" t="str" cm="1">
        <f t="array" ref="W31">IF($AO$21="INVERT",R31,IF(W30&gt;=$S$12,"",IF(R30="","",INDEX($R$18:$R$227,$U$17-ROWS($R$18:$R30)))))</f>
        <v/>
      </c>
      <c r="X31" s="30" t="str">
        <f t="shared" si="6"/>
        <v/>
      </c>
      <c r="Y31" s="30" t="str">
        <f>IF(Y30="","",IF($AO$21="TYP",IF(S30="","",INDEX($S$18:$S$227,$U$17-ROWS($S$18:$S30))),IF($AO$21="INVERT",S31,"")))</f>
        <v/>
      </c>
      <c r="Z31" s="75" t="str">
        <f t="shared" si="7"/>
        <v/>
      </c>
      <c r="AA31" s="67"/>
      <c r="AB31" s="88"/>
      <c r="AC31" s="88"/>
      <c r="AD31" s="88"/>
      <c r="AE31" s="88"/>
      <c r="AF31" s="88"/>
      <c r="AG31" s="195"/>
      <c r="AH31" s="181" t="s">
        <v>151</v>
      </c>
      <c r="AI31" s="188"/>
      <c r="AJ31" s="146"/>
      <c r="AK31" s="152">
        <f>IFERROR(INDEX($I$18:$I$200, MATCH(AK29, $H$18:$H$200, 0)), MIN($I$18:$I$200)-1/12)</f>
        <v>213.24999999999997</v>
      </c>
      <c r="AL31" s="152">
        <f>IFERROR(INDEX($K$18:$K$200, MATCH(AL29, $J$18:$J$200, 0)), MIN($K$18:$K$200)-1/12)</f>
        <v>100</v>
      </c>
      <c r="AM31" s="88"/>
    </row>
    <row r="32" spans="1:43" x14ac:dyDescent="0.2">
      <c r="A32" s="32">
        <f t="shared" si="1"/>
        <v>32</v>
      </c>
      <c r="C32" s="35">
        <f>IF(OR(C31=1,C31=""),"",'Imperial Calcs'!B28)</f>
        <v>67</v>
      </c>
      <c r="D32" s="30">
        <f>IF(C32="","",'Imperial Calcs'!C28)</f>
        <v>0.27517807999998922</v>
      </c>
      <c r="E32" s="30">
        <f>IF(OR(C31=1,C31=""),"",IF('Imperial Data'!$B$2,'Imperial Calcs'!D28,'Imperial Calcs'!E28))</f>
        <v>5.1775609999999972E-2</v>
      </c>
      <c r="F32" s="30">
        <f>IF(OR(C31=1,C31=""),"",IF('Imperial Data'!$B$2,'Imperial Calcs'!E28,'Imperial Calcs'!G28))</f>
        <v>27.517807999998922</v>
      </c>
      <c r="G32" s="30">
        <f>IF(OR(C31=1,C31=""),"",IF('Imperial Data'!$B$2,'Imperial Calcs'!F28,'Imperial Calcs'!J28))</f>
        <v>0.51775609999999972</v>
      </c>
      <c r="H32" s="30">
        <f>IF(OR(C31=1,C31=""),"",IF('Imperial Data'!$B$2,'Imperial Calcs'!G28,'Imperial Calcs'!M28))</f>
        <v>202.11910769333375</v>
      </c>
      <c r="I32" s="30">
        <f>IF(C32="","",IF('Imperial Data'!$B$2,'Imperial Calcs'!J28,'Imperial Calcs'!Y28))</f>
        <v>230.15467179333268</v>
      </c>
      <c r="J32" s="30">
        <f>IF('Imperial Data'!$B$2,'Imperial Calcs'!M28,"")</f>
        <v>25069.463314573335</v>
      </c>
      <c r="K32" s="30">
        <f>IF('Imperial Data'!$B$2,'Imperial Calcs'!Y28,"")</f>
        <v>105.58333333333333</v>
      </c>
      <c r="L32" s="37">
        <f>IF('Imperial Data'!$B$2,J32,H32)</f>
        <v>25069.463314573335</v>
      </c>
      <c r="M32" s="112">
        <f>IF('Imperial Data'!$B$2,K32,I32)</f>
        <v>105.58333333333333</v>
      </c>
      <c r="O32" s="32">
        <f t="shared" si="4"/>
        <v>105.58333333333333</v>
      </c>
      <c r="Q32" s="112">
        <f t="shared" si="8"/>
        <v>5.5833333333333375</v>
      </c>
      <c r="R32" s="32">
        <f t="shared" si="2"/>
        <v>5.5833333333333375</v>
      </c>
      <c r="S32" s="32">
        <f t="shared" si="3"/>
        <v>2761.8560615201682</v>
      </c>
      <c r="U32" s="32">
        <f t="shared" si="5"/>
        <v>1</v>
      </c>
      <c r="W32" s="30" t="str" cm="1">
        <f t="array" ref="W32">IF($AO$21="INVERT",R32,IF(W31&gt;=$S$12,"",IF(R31="","",INDEX($R$18:$R$227,$U$17-ROWS($R$18:$R31)))))</f>
        <v/>
      </c>
      <c r="X32" s="30" t="str">
        <f t="shared" si="6"/>
        <v/>
      </c>
      <c r="Y32" s="30" t="str">
        <f>IF(Y31="","",IF($AO$21="TYP",IF(S31="","",INDEX($S$18:$S$227,$U$17-ROWS($S$18:$S31))),IF($AO$21="INVERT",S32,"")))</f>
        <v/>
      </c>
      <c r="Z32" s="75" t="str">
        <f t="shared" si="7"/>
        <v/>
      </c>
      <c r="AA32" s="67"/>
      <c r="AB32" s="88"/>
      <c r="AC32" s="88"/>
      <c r="AD32" s="88"/>
      <c r="AE32" s="88"/>
      <c r="AF32" s="88"/>
      <c r="AG32" s="195"/>
      <c r="AH32" s="182" t="s">
        <v>152</v>
      </c>
      <c r="AI32" s="190">
        <f>IFERROR(IF('Imperial Data'!B2,'Cumulative Volumes Imperial'!AL42,'Cumulative Volumes Imperial'!AK42),"")</f>
        <v>0</v>
      </c>
      <c r="AJ32" s="146"/>
      <c r="AK32" s="143">
        <f>(((ROUND(AK28,2)-ROUND(AK29,2))/(ROUND(AK30,2)-ROUND(AK31,2)))*(ROUND(AK30,2)-$AI$24)-ROUND(AK28,2))*-1</f>
        <v>-568657.78124991118</v>
      </c>
      <c r="AL32" s="143">
        <f>(((ROUND(AL28,2)-ROUND(AL29,2))/(ROUND(AL30,2)-ROUND(AL31,2)))*(ROUND(AL30,2)-$AI$24)-ROUND(AL28,2))*-1</f>
        <v>-266662.50000000565</v>
      </c>
      <c r="AM32" s="88"/>
    </row>
    <row r="33" spans="1:38" x14ac:dyDescent="0.2">
      <c r="A33" s="32">
        <f t="shared" si="1"/>
        <v>33</v>
      </c>
      <c r="C33" s="35">
        <f>IF(OR(C32=1,C32=""),"",'Imperial Calcs'!B29)</f>
        <v>66</v>
      </c>
      <c r="D33" s="30">
        <f>IF(C33="","",'Imperial Calcs'!C29)</f>
        <v>0.35725088000000937</v>
      </c>
      <c r="E33" s="30">
        <f>IF(OR(C32=1,C32=""),"",IF('Imperial Data'!$B$2,'Imperial Calcs'!D29,'Imperial Calcs'!E29))</f>
        <v>6.6000030000004983E-2</v>
      </c>
      <c r="F33" s="30">
        <f>IF(OR(C32=1,C32=""),"",IF('Imperial Data'!$B$2,'Imperial Calcs'!E29,'Imperial Calcs'!G29))</f>
        <v>35.725088000000937</v>
      </c>
      <c r="G33" s="30">
        <f>IF(OR(C32=1,C32=""),"",IF('Imperial Data'!$B$2,'Imperial Calcs'!F29,'Imperial Calcs'!J29))</f>
        <v>0.66000030000004983</v>
      </c>
      <c r="H33" s="30">
        <f>IF(OR(C32=1,C32=""),"",IF('Imperial Data'!$B$2,'Imperial Calcs'!G29,'Imperial Calcs'!M29))</f>
        <v>198.77929801333292</v>
      </c>
      <c r="I33" s="30">
        <f>IF(C33="","",IF('Imperial Data'!$B$2,'Imperial Calcs'!J29,'Imperial Calcs'!Y29))</f>
        <v>235.16438631333392</v>
      </c>
      <c r="J33" s="30">
        <f>IF('Imperial Data'!$B$2,'Imperial Calcs'!M29,"")</f>
        <v>24839.308642780001</v>
      </c>
      <c r="K33" s="30">
        <f>IF('Imperial Data'!$B$2,'Imperial Calcs'!Y29,"")</f>
        <v>105.5</v>
      </c>
      <c r="L33" s="37">
        <f>IF('Imperial Data'!$B$2,J33,H33)</f>
        <v>24839.308642780001</v>
      </c>
      <c r="M33" s="112">
        <f>IF('Imperial Data'!$B$2,K33,I33)</f>
        <v>105.5</v>
      </c>
      <c r="O33" s="32">
        <f t="shared" si="4"/>
        <v>105.5</v>
      </c>
      <c r="Q33" s="112">
        <f t="shared" si="8"/>
        <v>5.5000000000000044</v>
      </c>
      <c r="R33" s="32">
        <f t="shared" si="2"/>
        <v>5.5000000000000044</v>
      </c>
      <c r="S33" s="32">
        <f t="shared" si="3"/>
        <v>2821.9726357601471</v>
      </c>
      <c r="U33" s="32">
        <f t="shared" si="5"/>
        <v>1</v>
      </c>
      <c r="W33" s="30" t="str" cm="1">
        <f t="array" ref="W33">IF($AO$21="INVERT",R33,IF(W32&gt;=$S$12,"",IF(R32="","",INDEX($R$18:$R$227,$U$17-ROWS($R$18:$R32)))))</f>
        <v/>
      </c>
      <c r="X33" s="30" t="str">
        <f t="shared" si="6"/>
        <v/>
      </c>
      <c r="Y33" s="30" t="str">
        <f>IF(Y32="","",IF($AO$21="TYP",IF(S32="","",INDEX($S$18:$S$227,$U$17-ROWS($S$18:$S32))),IF($AO$21="INVERT",S33,"")))</f>
        <v/>
      </c>
      <c r="Z33" s="75" t="str">
        <f t="shared" si="7"/>
        <v/>
      </c>
      <c r="AA33" s="67"/>
      <c r="AB33" s="88"/>
      <c r="AC33" s="88"/>
      <c r="AD33" s="88"/>
      <c r="AE33" s="88"/>
      <c r="AF33" s="88"/>
      <c r="AG33" s="194"/>
      <c r="AH33" s="182" t="s">
        <v>155</v>
      </c>
      <c r="AI33" s="185">
        <f>IFERROR(AI32+AI30,"")</f>
        <v>0</v>
      </c>
      <c r="AJ33" s="146"/>
      <c r="AK33" s="147">
        <f>ROUND(MAX(IFERROR(AK32,AK27),0),2)</f>
        <v>0</v>
      </c>
      <c r="AL33" s="147">
        <f>ROUND(MAX(IFERROR(AL32,AL27),0),2)</f>
        <v>0</v>
      </c>
    </row>
    <row r="34" spans="1:38" ht="13.5" thickBot="1" x14ac:dyDescent="0.25">
      <c r="A34" s="32">
        <f t="shared" si="1"/>
        <v>34</v>
      </c>
      <c r="C34" s="35">
        <f>IF(OR(C33=1,C33=""),"",'Imperial Calcs'!B30)</f>
        <v>65</v>
      </c>
      <c r="D34" s="30">
        <f>IF(C34="","",'Imperial Calcs'!C30)</f>
        <v>0.45839793999999756</v>
      </c>
      <c r="E34" s="30">
        <f>IF(OR(C33=1,C33=""),"",IF('Imperial Data'!$B$2,'Imperial Calcs'!D30,'Imperial Calcs'!E30))</f>
        <v>8.3070579999997562E-2</v>
      </c>
      <c r="F34" s="30">
        <f>IF(OR(C33=1,C33=""),"",IF('Imperial Data'!$B$2,'Imperial Calcs'!E30,'Imperial Calcs'!G30))</f>
        <v>45.839793999999756</v>
      </c>
      <c r="G34" s="30">
        <f>IF(OR(C33=1,C33=""),"",IF('Imperial Data'!$B$2,'Imperial Calcs'!F30,'Imperial Calcs'!J30))</f>
        <v>0.83070579999997562</v>
      </c>
      <c r="H34" s="30">
        <f>IF(OR(C33=1,C33=""),"",IF('Imperial Data'!$B$2,'Imperial Calcs'!G30,'Imperial Calcs'!M30))</f>
        <v>194.66513341333342</v>
      </c>
      <c r="I34" s="30">
        <f>IF(C34="","",IF('Imperial Data'!$B$2,'Imperial Calcs'!J30,'Imperial Calcs'!Y30))</f>
        <v>241.33563321333315</v>
      </c>
      <c r="J34" s="30">
        <f>IF('Imperial Data'!$B$2,'Imperial Calcs'!M30,"")</f>
        <v>24604.144256466669</v>
      </c>
      <c r="K34" s="30">
        <f>IF('Imperial Data'!$B$2,'Imperial Calcs'!Y30,"")</f>
        <v>105.41666666666667</v>
      </c>
      <c r="L34" s="37">
        <f>IF('Imperial Data'!$B$2,J34,H34)</f>
        <v>24604.144256466669</v>
      </c>
      <c r="M34" s="112">
        <f>IF('Imperial Data'!$B$2,K34,I34)</f>
        <v>105.41666666666667</v>
      </c>
      <c r="O34" s="32">
        <f t="shared" si="4"/>
        <v>105.41666666666667</v>
      </c>
      <c r="Q34" s="112">
        <f t="shared" si="8"/>
        <v>5.4166666666666714</v>
      </c>
      <c r="R34" s="32">
        <f t="shared" si="2"/>
        <v>5.4166666666666714</v>
      </c>
      <c r="S34" s="32">
        <f t="shared" si="3"/>
        <v>2896.0275985596727</v>
      </c>
      <c r="U34" s="32">
        <f t="shared" si="5"/>
        <v>1</v>
      </c>
      <c r="W34" s="30" t="str" cm="1">
        <f t="array" ref="W34">IF($AO$21="INVERT",R34,IF(W33&gt;=$S$12,"",IF(R33="","",INDEX($R$18:$R$227,$U$17-ROWS($R$18:$R33)))))</f>
        <v/>
      </c>
      <c r="X34" s="30" t="str">
        <f t="shared" si="6"/>
        <v/>
      </c>
      <c r="Y34" s="30" t="str">
        <f>IF(Y33="","",IF($AO$21="TYP",IF(S33="","",INDEX($S$18:$S$227,$U$17-ROWS($S$18:$S33))),IF($AO$21="INVERT",S34,"")))</f>
        <v/>
      </c>
      <c r="Z34" s="75" t="str">
        <f t="shared" si="7"/>
        <v/>
      </c>
      <c r="AA34" s="67"/>
      <c r="AB34" s="88"/>
      <c r="AC34" s="88"/>
      <c r="AD34" s="88"/>
      <c r="AE34" s="88"/>
      <c r="AF34" s="88"/>
      <c r="AG34" s="196" t="b">
        <v>0</v>
      </c>
      <c r="AH34" s="197" t="s">
        <v>156</v>
      </c>
      <c r="AI34" s="189">
        <f>IFERROR(IF(AI35,"",ROUNDUP(IF('Imperial Data'!B2,AL49,AK49),2)),"")</f>
        <v>100</v>
      </c>
      <c r="AJ34" s="146"/>
      <c r="AK34" s="133" t="s">
        <v>130</v>
      </c>
      <c r="AL34" s="134"/>
    </row>
    <row r="35" spans="1:38" ht="15" x14ac:dyDescent="0.25">
      <c r="A35" s="32">
        <f t="shared" si="1"/>
        <v>35</v>
      </c>
      <c r="C35" s="35">
        <f>IF(OR(C34=1,C34=""),"",'Imperial Calcs'!B31)</f>
        <v>64</v>
      </c>
      <c r="D35" s="30">
        <f>IF(C35="","",'Imperial Calcs'!C31)</f>
        <v>0.74163876000000073</v>
      </c>
      <c r="E35" s="30">
        <f>IF(OR(C34=1,C34=""),"",IF('Imperial Data'!$B$2,'Imperial Calcs'!D31,'Imperial Calcs'!E31))</f>
        <v>0.10533277999999768</v>
      </c>
      <c r="F35" s="30">
        <f>IF(OR(C34=1,C34=""),"",IF('Imperial Data'!$B$2,'Imperial Calcs'!E31,'Imperial Calcs'!G31))</f>
        <v>74.163876000000073</v>
      </c>
      <c r="G35" s="30">
        <f>IF(OR(C34=1,C34=""),"",IF('Imperial Data'!$B$2,'Imperial Calcs'!F31,'Imperial Calcs'!J31))</f>
        <v>1.0533277999999768</v>
      </c>
      <c r="H35" s="30">
        <f>IF(OR(C34=1,C34=""),"",IF('Imperial Data'!$B$2,'Imperial Calcs'!G31,'Imperial Calcs'!M31))</f>
        <v>183.24645181333329</v>
      </c>
      <c r="I35" s="30">
        <f>IF(C35="","",IF('Imperial Data'!$B$2,'Imperial Calcs'!J31,'Imperial Calcs'!Y31))</f>
        <v>258.46365561333334</v>
      </c>
      <c r="J35" s="30">
        <f>IF('Imperial Data'!$B$2,'Imperial Calcs'!M31,"")</f>
        <v>24362.808623253335</v>
      </c>
      <c r="K35" s="30">
        <f>IF('Imperial Data'!$B$2,'Imperial Calcs'!Y31,"")</f>
        <v>105.33333333333333</v>
      </c>
      <c r="L35" s="37">
        <f>IF('Imperial Data'!$B$2,J35,H35)</f>
        <v>24362.808623253335</v>
      </c>
      <c r="M35" s="112">
        <f>IF('Imperial Data'!$B$2,K35,I35)</f>
        <v>105.33333333333333</v>
      </c>
      <c r="O35" s="32">
        <f t="shared" si="4"/>
        <v>105.33333333333333</v>
      </c>
      <c r="Q35" s="112">
        <f t="shared" si="8"/>
        <v>5.3333333333333384</v>
      </c>
      <c r="R35" s="32">
        <f t="shared" si="2"/>
        <v>5.3333333333333384</v>
      </c>
      <c r="S35" s="32">
        <f t="shared" si="3"/>
        <v>3101.5638673601807</v>
      </c>
      <c r="U35" s="32">
        <f t="shared" si="5"/>
        <v>1</v>
      </c>
      <c r="W35" s="30" t="str" cm="1">
        <f t="array" ref="W35">IF($AO$21="INVERT",R35,IF(W34&gt;=$S$12,"",IF(R34="","",INDEX($R$18:$R$227,$U$17-ROWS($R$18:$R34)))))</f>
        <v/>
      </c>
      <c r="X35" s="30" t="str">
        <f t="shared" si="6"/>
        <v/>
      </c>
      <c r="Y35" s="30" t="str">
        <f>IF(Y34="","",IF($AO$21="TYP",IF(S34="","",INDEX($S$18:$S$227,$U$17-ROWS($S$18:$S34))),IF($AO$21="INVERT",S35,"")))</f>
        <v/>
      </c>
      <c r="Z35" s="75" t="str">
        <f t="shared" si="7"/>
        <v/>
      </c>
      <c r="AA35" s="67"/>
      <c r="AB35" s="88"/>
      <c r="AC35" s="88"/>
      <c r="AD35" s="88"/>
      <c r="AE35" s="88"/>
      <c r="AF35" s="88"/>
      <c r="AG35" s="199"/>
      <c r="AH35" s="219" t="s">
        <v>161</v>
      </c>
      <c r="AI35" s="229" t="b">
        <v>0</v>
      </c>
      <c r="AJ35" s="88"/>
      <c r="AK35" s="150" t="s">
        <v>126</v>
      </c>
      <c r="AL35" s="139" t="s">
        <v>127</v>
      </c>
    </row>
    <row r="36" spans="1:38" x14ac:dyDescent="0.2">
      <c r="A36" s="32">
        <f t="shared" si="1"/>
        <v>36</v>
      </c>
      <c r="C36" s="35">
        <f>IF(OR(C35=1,C35=""),"",'Imperial Calcs'!B32)</f>
        <v>63</v>
      </c>
      <c r="D36" s="30">
        <f>IF(C36="","",'Imperial Calcs'!C32)</f>
        <v>1.096373629999988</v>
      </c>
      <c r="E36" s="30">
        <f>IF(OR(C35=1,C35=""),"",IF('Imperial Data'!$B$2,'Imperial Calcs'!D32,'Imperial Calcs'!E32))</f>
        <v>0.13240399000000025</v>
      </c>
      <c r="F36" s="30">
        <f>IF(OR(C35=1,C35=""),"",IF('Imperial Data'!$B$2,'Imperial Calcs'!E32,'Imperial Calcs'!G32))</f>
        <v>109.6373629999988</v>
      </c>
      <c r="G36" s="30">
        <f>IF(OR(C35=1,C35=""),"",IF('Imperial Data'!$B$2,'Imperial Calcs'!F32,'Imperial Calcs'!J32))</f>
        <v>1.3240399000000025</v>
      </c>
      <c r="H36" s="30">
        <f>IF(OR(C35=1,C35=""),"",IF('Imperial Data'!$B$2,'Imperial Calcs'!G32,'Imperial Calcs'!M32))</f>
        <v>168.94877217333379</v>
      </c>
      <c r="I36" s="30">
        <f>IF(C36="","",IF('Imperial Data'!$B$2,'Imperial Calcs'!J32,'Imperial Calcs'!Y32))</f>
        <v>279.9101750733326</v>
      </c>
      <c r="J36" s="30">
        <f>IF('Imperial Data'!$B$2,'Imperial Calcs'!M32,"")</f>
        <v>24104.344967640001</v>
      </c>
      <c r="K36" s="30">
        <f>IF('Imperial Data'!$B$2,'Imperial Calcs'!Y32,"")</f>
        <v>105.25</v>
      </c>
      <c r="L36" s="37">
        <f>IF('Imperial Data'!$B$2,J36,H36)</f>
        <v>24104.344967640001</v>
      </c>
      <c r="M36" s="112">
        <f>IF('Imperial Data'!$B$2,K36,I36)</f>
        <v>105.25</v>
      </c>
      <c r="O36" s="32">
        <f t="shared" si="4"/>
        <v>105.25</v>
      </c>
      <c r="Q36" s="112">
        <f t="shared" si="8"/>
        <v>5.2500000000000053</v>
      </c>
      <c r="R36" s="32">
        <f t="shared" si="2"/>
        <v>5.2500000000000053</v>
      </c>
      <c r="S36" s="32">
        <f t="shared" si="3"/>
        <v>3358.9221008801705</v>
      </c>
      <c r="U36" s="32">
        <f t="shared" si="5"/>
        <v>1</v>
      </c>
      <c r="W36" s="30" t="str" cm="1">
        <f t="array" ref="W36">IF($AO$21="INVERT",R36,IF(W35&gt;=$S$12,"",IF(R35="","",INDEX($R$18:$R$227,$U$17-ROWS($R$18:$R35)))))</f>
        <v/>
      </c>
      <c r="X36" s="30" t="str">
        <f t="shared" si="6"/>
        <v/>
      </c>
      <c r="Y36" s="30" t="str">
        <f>IF(Y35="","",IF($AO$21="TYP",IF(S35="","",INDEX($S$18:$S$227,$U$17-ROWS($S$18:$S35))),IF($AO$21="INVERT",S36,"")))</f>
        <v/>
      </c>
      <c r="Z36" s="75" t="str">
        <f t="shared" si="7"/>
        <v/>
      </c>
      <c r="AA36" s="67"/>
      <c r="AB36" s="88"/>
      <c r="AC36" s="88"/>
      <c r="AD36" s="88"/>
      <c r="AE36" s="88"/>
      <c r="AF36" s="88"/>
      <c r="AG36" s="220"/>
      <c r="AH36" s="221" t="s">
        <v>160</v>
      </c>
      <c r="AI36" s="236">
        <v>1</v>
      </c>
      <c r="AJ36" s="88"/>
      <c r="AK36" s="154" t="e">
        <f>INDEX($H$18:$H$200, MATCH($AI$31, $I$18:$I$200, 0))</f>
        <v>#N/A</v>
      </c>
      <c r="AL36" s="154" t="e">
        <f>INDEX($J$18:$J$200, MATCH($AI$31, $K$18:$K$200, 0))</f>
        <v>#N/A</v>
      </c>
    </row>
    <row r="37" spans="1:38" x14ac:dyDescent="0.2">
      <c r="A37" s="32">
        <f t="shared" si="1"/>
        <v>37</v>
      </c>
      <c r="C37" s="35">
        <f>IF(OR(C36=1,C36=""),"",'Imperial Calcs'!B33)</f>
        <v>62</v>
      </c>
      <c r="D37" s="30">
        <f>IF(C37="","",'Imperial Calcs'!C33)</f>
        <v>1.3184840400000155</v>
      </c>
      <c r="E37" s="30">
        <f>IF(OR(C36=1,C36=""),"",IF('Imperial Data'!$B$2,'Imperial Calcs'!D33,'Imperial Calcs'!E33))</f>
        <v>0.16099102000000443</v>
      </c>
      <c r="F37" s="30">
        <f>IF(OR(C36=1,C36=""),"",IF('Imperial Data'!$B$2,'Imperial Calcs'!E33,'Imperial Calcs'!G33))</f>
        <v>131.84840400000155</v>
      </c>
      <c r="G37" s="30">
        <f>IF(OR(C36=1,C36=""),"",IF('Imperial Data'!$B$2,'Imperial Calcs'!F33,'Imperial Calcs'!J33))</f>
        <v>1.6099102000000443</v>
      </c>
      <c r="H37" s="30">
        <f>IF(OR(C36=1,C36=""),"",IF('Imperial Data'!$B$2,'Imperial Calcs'!G33,'Imperial Calcs'!M33))</f>
        <v>159.95000765333268</v>
      </c>
      <c r="I37" s="30">
        <f>IF(C37="","",IF('Imperial Data'!$B$2,'Imperial Calcs'!J33,'Imperial Calcs'!Y33))</f>
        <v>293.40832185333426</v>
      </c>
      <c r="J37" s="30">
        <f>IF('Imperial Data'!$B$2,'Imperial Calcs'!M33,"")</f>
        <v>23824.43479256667</v>
      </c>
      <c r="K37" s="30">
        <f>IF('Imperial Data'!$B$2,'Imperial Calcs'!Y33,"")</f>
        <v>105.16666666666667</v>
      </c>
      <c r="L37" s="37">
        <f>IF('Imperial Data'!$B$2,J37,H37)</f>
        <v>23824.43479256667</v>
      </c>
      <c r="M37" s="112">
        <f>IF('Imperial Data'!$B$2,K37,I37)</f>
        <v>105.16666666666667</v>
      </c>
      <c r="O37" s="32">
        <f t="shared" si="4"/>
        <v>105.16666666666667</v>
      </c>
      <c r="Q37" s="112">
        <f t="shared" si="8"/>
        <v>5.1666666666666723</v>
      </c>
      <c r="R37" s="32">
        <f t="shared" si="2"/>
        <v>5.1666666666666723</v>
      </c>
      <c r="S37" s="32">
        <f t="shared" si="3"/>
        <v>3520.8998622396102</v>
      </c>
      <c r="U37" s="32">
        <f t="shared" si="5"/>
        <v>1</v>
      </c>
      <c r="W37" s="30" t="str" cm="1">
        <f t="array" ref="W37">IF($AO$21="INVERT",R37,IF(W36&gt;=$S$12,"",IF(R36="","",INDEX($R$18:$R$227,$U$17-ROWS($R$18:$R36)))))</f>
        <v/>
      </c>
      <c r="X37" s="30" t="str">
        <f t="shared" si="6"/>
        <v/>
      </c>
      <c r="Y37" s="30" t="str">
        <f>IF(Y36="","",IF($AO$21="TYP",IF(S36="","",INDEX($S$18:$S$227,$U$17-ROWS($S$18:$S36))),IF($AO$21="INVERT",S37,"")))</f>
        <v/>
      </c>
      <c r="Z37" s="75" t="str">
        <f t="shared" si="7"/>
        <v/>
      </c>
      <c r="AA37" s="67"/>
      <c r="AB37" s="88"/>
      <c r="AC37" s="88"/>
      <c r="AD37" s="88"/>
      <c r="AE37" s="88"/>
      <c r="AF37" s="88"/>
      <c r="AG37" s="222"/>
      <c r="AH37" s="212" t="s">
        <v>162</v>
      </c>
      <c r="AI37" s="223">
        <f>IFERROR(MIN(AI36*AI32,AI30),"")</f>
        <v>0</v>
      </c>
      <c r="AJ37" s="88"/>
      <c r="AK37" s="153">
        <f>INDEX($H$18:$H$200, MATCH($AI$31, $I$18:$I$200, -1))</f>
        <v>213.33333333333331</v>
      </c>
      <c r="AL37" s="153">
        <f>INDEX($J$18:$J$200, MATCH($AI$31, $K$18:$K$200, -1))</f>
        <v>213.33333333333331</v>
      </c>
    </row>
    <row r="38" spans="1:38" x14ac:dyDescent="0.2">
      <c r="A38" s="32">
        <f t="shared" si="1"/>
        <v>38</v>
      </c>
      <c r="C38" s="274">
        <f>IF(OR(C37=1,C37=""),"",'Imperial Calcs'!B34)</f>
        <v>61</v>
      </c>
      <c r="D38" s="275">
        <f>IF(C38="","",'Imperial Calcs'!C34)</f>
        <v>1.4982317199999784</v>
      </c>
      <c r="E38" s="275">
        <f>IF(OR(C37=1,C37=""),"",IF('Imperial Data'!$B$2,'Imperial Calcs'!D34,'Imperial Calcs'!E34))</f>
        <v>0.18868820999999514</v>
      </c>
      <c r="F38" s="275">
        <f>IF(OR(C37=1,C37=""),"",IF('Imperial Data'!$B$2,'Imperial Calcs'!E34,'Imperial Calcs'!G34))</f>
        <v>149.82317199999784</v>
      </c>
      <c r="G38" s="275">
        <f>IF(OR(C37=1,C37=""),"",IF('Imperial Data'!$B$2,'Imperial Calcs'!F34,'Imperial Calcs'!J34))</f>
        <v>1.8868820999999514</v>
      </c>
      <c r="H38" s="275">
        <f>IF(OR(C37=1,C37=""),"",IF('Imperial Data'!$B$2,'Imperial Calcs'!G34,'Imperial Calcs'!M34))</f>
        <v>152.64931169333417</v>
      </c>
      <c r="I38" s="275">
        <f>IF(C38="","",IF('Imperial Data'!$B$2,'Imperial Calcs'!J34,'Imperial Calcs'!Y34))</f>
        <v>304.35936579333196</v>
      </c>
      <c r="J38" s="30">
        <f>IF('Imperial Data'!$B$2,'Imperial Calcs'!M34,"")</f>
        <v>23531.026470713336</v>
      </c>
      <c r="K38" s="30">
        <f>IF('Imperial Data'!$B$2,'Imperial Calcs'!Y34,"")</f>
        <v>105.08333333333333</v>
      </c>
      <c r="L38" s="37">
        <f>IF('Imperial Data'!$B$2,J38,H38)</f>
        <v>23531.026470713336</v>
      </c>
      <c r="M38" s="112">
        <f>IF('Imperial Data'!$B$2,K38,I38)</f>
        <v>105.08333333333333</v>
      </c>
      <c r="O38" s="32">
        <f t="shared" si="4"/>
        <v>105.08333333333333</v>
      </c>
      <c r="Q38" s="112">
        <f t="shared" si="8"/>
        <v>5.0833333333333393</v>
      </c>
      <c r="R38" s="32">
        <f t="shared" si="2"/>
        <v>5.0833333333333393</v>
      </c>
      <c r="S38" s="32">
        <f t="shared" si="3"/>
        <v>3652.3123895201757</v>
      </c>
      <c r="U38" s="32">
        <f t="shared" si="5"/>
        <v>1</v>
      </c>
      <c r="W38" s="30" t="str" cm="1">
        <f t="array" ref="W38">IF($AO$21="INVERT",R38,IF(W37&gt;=$S$12,"",IF(R37="","",INDEX($R$18:$R$227,$U$17-ROWS($R$18:$R37)))))</f>
        <v/>
      </c>
      <c r="X38" s="30" t="str">
        <f t="shared" si="6"/>
        <v/>
      </c>
      <c r="Y38" s="30" t="str">
        <f>IF(Y37="","",IF($AO$21="TYP",IF(S37="","",INDEX($S$18:$S$227,$U$17-ROWS($S$18:$S37))),IF($AO$21="INVERT",S38,"")))</f>
        <v/>
      </c>
      <c r="Z38" s="75" t="str">
        <f t="shared" si="7"/>
        <v/>
      </c>
      <c r="AA38" s="67"/>
      <c r="AB38" s="88"/>
      <c r="AC38" s="88"/>
      <c r="AD38" s="88"/>
      <c r="AE38" s="88"/>
      <c r="AF38" s="88"/>
      <c r="AG38" s="222"/>
      <c r="AH38" s="212" t="s">
        <v>164</v>
      </c>
      <c r="AI38" s="223">
        <f>IFERROR(IF(AI37=0,0,(AI37/AI36)*(1-AI36)),"")</f>
        <v>0</v>
      </c>
      <c r="AJ38" s="88"/>
      <c r="AK38" s="153" cm="1">
        <f t="array" ref="AK38">IF(INDEX($H$18:$H$200, MATCH($AI$31, $I$18:$I$200, -1)+1)="",0,INDEX($H$18:$H$200, MATCH($AI$31, $I$18:$I$200, -1)+1))</f>
        <v>0</v>
      </c>
      <c r="AL38" s="153" cm="1">
        <f t="array" ref="AL38">IF(INDEX($J$18:$J$200, MATCH($AI$31, $K$18:$K$200, -1)+1)="",0,INDEX($J$18:$J$200, MATCH($AI$31, $K$18:$K$200, -1)+1))</f>
        <v>0</v>
      </c>
    </row>
    <row r="39" spans="1:38" x14ac:dyDescent="0.2">
      <c r="A39" s="32">
        <f t="shared" si="1"/>
        <v>39</v>
      </c>
      <c r="C39" s="35">
        <f>IF(OR(C38=1,C38=""),"",'Imperial Calcs'!B35)</f>
        <v>60</v>
      </c>
      <c r="D39" s="30">
        <f>IF(C39="","",'Imperial Calcs'!C35)</f>
        <v>1.654489830000017</v>
      </c>
      <c r="E39" s="30">
        <f>IF(OR(C38=1,C38=""),"",IF('Imperial Data'!$B$2,'Imperial Calcs'!D35,'Imperial Calcs'!E35))</f>
        <v>0.21852530000000314</v>
      </c>
      <c r="F39" s="30">
        <f>IF(OR(C38=1,C38=""),"",IF('Imperial Data'!$B$2,'Imperial Calcs'!E35,'Imperial Calcs'!G35))</f>
        <v>165.4489830000017</v>
      </c>
      <c r="G39" s="30">
        <f>IF(OR(C38=1,C38=""),"",IF('Imperial Data'!$B$2,'Imperial Calcs'!F35,'Imperial Calcs'!J35))</f>
        <v>2.1852530000000314</v>
      </c>
      <c r="H39" s="30">
        <f>IF(OR(C38=1,C38=""),"",IF('Imperial Data'!$B$2,'Imperial Calcs'!G35,'Imperial Calcs'!M35))</f>
        <v>146.27963893333262</v>
      </c>
      <c r="I39" s="30">
        <f>IF(C39="","",IF('Imperial Data'!$B$2,'Imperial Calcs'!J35,'Imperial Calcs'!Y35))</f>
        <v>313.91387493333434</v>
      </c>
      <c r="J39" s="30">
        <f>IF('Imperial Data'!$B$2,'Imperial Calcs'!M35,"")</f>
        <v>23226.667104920005</v>
      </c>
      <c r="K39" s="30">
        <f>IF('Imperial Data'!$B$2,'Imperial Calcs'!Y35,"")</f>
        <v>105</v>
      </c>
      <c r="L39" s="37">
        <f>IF('Imperial Data'!$B$2,J39,H39)</f>
        <v>23226.667104920005</v>
      </c>
      <c r="M39" s="112">
        <f>IF('Imperial Data'!$B$2,K39,I39)</f>
        <v>105</v>
      </c>
      <c r="O39" s="32">
        <f t="shared" si="4"/>
        <v>105</v>
      </c>
      <c r="Q39" s="112">
        <f t="shared" si="8"/>
        <v>5.0000000000000062</v>
      </c>
      <c r="R39" s="32">
        <f t="shared" si="2"/>
        <v>5.0000000000000062</v>
      </c>
      <c r="S39" s="32">
        <f t="shared" si="3"/>
        <v>3766.9664992002467</v>
      </c>
      <c r="U39" s="32">
        <f t="shared" si="5"/>
        <v>1</v>
      </c>
      <c r="W39" s="30" t="str" cm="1">
        <f t="array" ref="W39">IF($AO$21="INVERT",R39,IF(W38&gt;=$S$12,"",IF(R38="","",INDEX($R$18:$R$227,$U$17-ROWS($R$18:$R38)))))</f>
        <v/>
      </c>
      <c r="X39" s="30" t="str">
        <f t="shared" si="6"/>
        <v/>
      </c>
      <c r="Y39" s="30" t="str">
        <f>IF(Y38="","",IF($AO$21="TYP",IF(S38="","",INDEX($S$18:$S$227,$U$17-ROWS($S$18:$S38))),IF($AO$21="INVERT",S39,"")))</f>
        <v/>
      </c>
      <c r="Z39" s="75" t="str">
        <f t="shared" si="7"/>
        <v/>
      </c>
      <c r="AA39" s="67"/>
      <c r="AB39" s="88"/>
      <c r="AC39" s="88"/>
      <c r="AD39" s="88"/>
      <c r="AE39" s="88"/>
      <c r="AF39" s="88"/>
      <c r="AG39" s="222"/>
      <c r="AI39" s="235">
        <f>SUM(AI37:AI38)</f>
        <v>0</v>
      </c>
      <c r="AJ39" s="88"/>
      <c r="AK39" s="153">
        <f>INDEX($I$18:$I$200, MATCH(AK37, $H$18:$H$200, 0))</f>
        <v>213.33333333333331</v>
      </c>
      <c r="AL39" s="153">
        <f>INDEX($K$18:$K$200, MATCH(AL37, $J$18:$J$200, 0))</f>
        <v>100.08333333333333</v>
      </c>
    </row>
    <row r="40" spans="1:38" x14ac:dyDescent="0.2">
      <c r="A40" s="32">
        <f t="shared" si="1"/>
        <v>40</v>
      </c>
      <c r="C40" s="35">
        <f>IF(OR(C39=1,C39=""),"",'Imperial Calcs'!B36)</f>
        <v>59</v>
      </c>
      <c r="D40" s="30">
        <f>IF(C40="","",'Imperial Calcs'!C36)</f>
        <v>1.7939655600000037</v>
      </c>
      <c r="E40" s="30">
        <f>IF(OR(C39=1,C39=""),"",IF('Imperial Data'!$B$2,'Imperial Calcs'!D36,'Imperial Calcs'!E36))</f>
        <v>0.24693469999999706</v>
      </c>
      <c r="F40" s="30">
        <f>IF(OR(C39=1,C39=""),"",IF('Imperial Data'!$B$2,'Imperial Calcs'!E36,'Imperial Calcs'!G36))</f>
        <v>179.39655600000037</v>
      </c>
      <c r="G40" s="30">
        <f>IF(OR(C39=1,C39=""),"",IF('Imperial Data'!$B$2,'Imperial Calcs'!F36,'Imperial Calcs'!J36))</f>
        <v>2.4693469999999706</v>
      </c>
      <c r="H40" s="30">
        <f>IF(OR(C39=1,C39=""),"",IF('Imperial Data'!$B$2,'Imperial Calcs'!G36,'Imperial Calcs'!M36))</f>
        <v>140.58697213333318</v>
      </c>
      <c r="I40" s="30">
        <f>IF(C40="","",IF('Imperial Data'!$B$2,'Imperial Calcs'!J36,'Imperial Calcs'!Y36))</f>
        <v>322.45287513333352</v>
      </c>
      <c r="J40" s="30">
        <f>IF('Imperial Data'!$B$2,'Imperial Calcs'!M36,"")</f>
        <v>22912.753229986669</v>
      </c>
      <c r="K40" s="30">
        <f>IF('Imperial Data'!$B$2,'Imperial Calcs'!Y36,"")</f>
        <v>104.91666666666667</v>
      </c>
      <c r="L40" s="37">
        <f>IF('Imperial Data'!$B$2,J40,H40)</f>
        <v>22912.753229986669</v>
      </c>
      <c r="M40" s="112">
        <f>IF('Imperial Data'!$B$2,K40,I40)</f>
        <v>104.91666666666667</v>
      </c>
      <c r="O40" s="32">
        <f t="shared" si="4"/>
        <v>104.91666666666667</v>
      </c>
      <c r="Q40" s="112">
        <f t="shared" si="8"/>
        <v>4.9166666666666732</v>
      </c>
      <c r="R40" s="32">
        <f t="shared" si="2"/>
        <v>4.9166666666666732</v>
      </c>
      <c r="S40" s="32">
        <f t="shared" si="3"/>
        <v>3869.4345015995755</v>
      </c>
      <c r="U40" s="32">
        <f t="shared" si="5"/>
        <v>1</v>
      </c>
      <c r="W40" s="30" t="str" cm="1">
        <f t="array" ref="W40">IF($AO$21="INVERT",R40,IF(W39&gt;=$S$12,"",IF(R39="","",INDEX($R$18:$R$227,$U$17-ROWS($R$18:$R39)))))</f>
        <v/>
      </c>
      <c r="X40" s="30" t="str">
        <f t="shared" si="6"/>
        <v/>
      </c>
      <c r="Y40" s="30" t="str">
        <f>IF(Y39="","",IF($AO$21="TYP",IF(S39="","",INDEX($S$18:$S$227,$U$17-ROWS($S$18:$S39))),IF($AO$21="INVERT",S40,"")))</f>
        <v/>
      </c>
      <c r="Z40" s="75" t="str">
        <f t="shared" si="7"/>
        <v/>
      </c>
      <c r="AA40" s="67"/>
      <c r="AB40" s="88"/>
      <c r="AC40" s="88"/>
      <c r="AD40" s="88"/>
      <c r="AE40" s="88"/>
      <c r="AF40" s="88"/>
      <c r="AG40" s="222"/>
      <c r="AH40" s="212" t="s">
        <v>159</v>
      </c>
      <c r="AI40" s="236">
        <v>0.5</v>
      </c>
      <c r="AJ40" s="88"/>
      <c r="AK40" s="135">
        <f>IFERROR(INDEX($I$18:$I$200, MATCH(AK38, $H$18:$H$200, 0)), MIN($I$18:$I$200)-1/12)</f>
        <v>213.24999999999997</v>
      </c>
      <c r="AL40" s="135">
        <f>IFERROR(INDEX($K$18:$K$200, MATCH(AL38, $J$18:$J$200, 0)), MIN($K$18:$K$200)-1/12)</f>
        <v>100</v>
      </c>
    </row>
    <row r="41" spans="1:38" x14ac:dyDescent="0.2">
      <c r="A41" s="32">
        <f t="shared" si="1"/>
        <v>41</v>
      </c>
      <c r="C41" s="35">
        <f>IF(OR(C40=1,C40=""),"",'Imperial Calcs'!B37)</f>
        <v>58</v>
      </c>
      <c r="D41" s="30">
        <f>IF(C41="","",'Imperial Calcs'!C37)</f>
        <v>1.9196539699999846</v>
      </c>
      <c r="E41" s="30">
        <f>IF(OR(C40=1,C40=""),"",IF('Imperial Data'!$B$2,'Imperial Calcs'!D37,'Imperial Calcs'!E37))</f>
        <v>0.27528255000000001</v>
      </c>
      <c r="F41" s="30">
        <f>IF(OR(C40=1,C40=""),"",IF('Imperial Data'!$B$2,'Imperial Calcs'!E37,'Imperial Calcs'!G37))</f>
        <v>191.96539699999846</v>
      </c>
      <c r="G41" s="30">
        <f>IF(OR(C40=1,C40=""),"",IF('Imperial Data'!$B$2,'Imperial Calcs'!F37,'Imperial Calcs'!J37))</f>
        <v>2.7528255000000001</v>
      </c>
      <c r="H41" s="30">
        <f>IF(OR(C40=1,C40=""),"",IF('Imperial Data'!$B$2,'Imperial Calcs'!G37,'Imperial Calcs'!M37))</f>
        <v>135.44604433333393</v>
      </c>
      <c r="I41" s="30">
        <f>IF(C41="","",IF('Imperial Data'!$B$2,'Imperial Calcs'!J37,'Imperial Calcs'!Y37))</f>
        <v>330.16426683333236</v>
      </c>
      <c r="J41" s="30">
        <f>IF('Imperial Data'!$B$2,'Imperial Calcs'!M37,"")</f>
        <v>22590.300354853334</v>
      </c>
      <c r="K41" s="30">
        <f>IF('Imperial Data'!$B$2,'Imperial Calcs'!Y37,"")</f>
        <v>104.83333333333333</v>
      </c>
      <c r="L41" s="37">
        <f>IF('Imperial Data'!$B$2,J41,H41)</f>
        <v>22590.300354853334</v>
      </c>
      <c r="M41" s="112">
        <f>IF('Imperial Data'!$B$2,K41,I41)</f>
        <v>104.83333333333333</v>
      </c>
      <c r="O41" s="32">
        <f t="shared" si="4"/>
        <v>104.83333333333333</v>
      </c>
      <c r="Q41" s="112">
        <f t="shared" si="8"/>
        <v>4.8333333333333401</v>
      </c>
      <c r="R41" s="32">
        <f t="shared" si="2"/>
        <v>4.8333333333333401</v>
      </c>
      <c r="S41" s="32">
        <f t="shared" si="3"/>
        <v>3961.9712020002257</v>
      </c>
      <c r="U41" s="32">
        <f t="shared" si="5"/>
        <v>1</v>
      </c>
      <c r="W41" s="30" t="str" cm="1">
        <f t="array" ref="W41">IF($AO$21="INVERT",R41,IF(W40&gt;=$S$12,"",IF(R40="","",INDEX($R$18:$R$227,$U$17-ROWS($R$18:$R40)))))</f>
        <v/>
      </c>
      <c r="X41" s="30" t="str">
        <f t="shared" si="6"/>
        <v/>
      </c>
      <c r="Y41" s="30" t="str">
        <f>IF(Y40="","",IF($AO$21="TYP",IF(S40="","",INDEX($S$18:$S$227,$U$17-ROWS($S$18:$S40))),IF($AO$21="INVERT",S41,"")))</f>
        <v/>
      </c>
      <c r="Z41" s="75" t="str">
        <f t="shared" si="7"/>
        <v/>
      </c>
      <c r="AA41" s="67"/>
      <c r="AB41" s="88"/>
      <c r="AC41" s="88"/>
      <c r="AD41" s="88"/>
      <c r="AE41" s="88"/>
      <c r="AF41" s="88"/>
      <c r="AG41" s="222"/>
      <c r="AH41" s="212" t="s">
        <v>163</v>
      </c>
      <c r="AI41" s="224">
        <f>IFERROR(AI30-AI37,"")</f>
        <v>0</v>
      </c>
      <c r="AJ41" s="88"/>
      <c r="AK41" s="143">
        <f>(((ROUND(AK37,2)-ROUND(AK38,2))/(ROUND(AK39,2)-ROUND(AK40,2)))*(ROUND(AK39,2)-$AI$31)-ROUND(AK37,2))*-1</f>
        <v>-568657.78124991118</v>
      </c>
      <c r="AL41" s="143">
        <f>(((ROUND(AL37,2)-ROUND(AL38,2))/(ROUND(AL39,2)-ROUND(AL40,2)))*(ROUND(AL39,2)-$AI$31)-ROUND(AL37,2))*-1</f>
        <v>-266662.50000000565</v>
      </c>
    </row>
    <row r="42" spans="1:38" x14ac:dyDescent="0.2">
      <c r="A42" s="32">
        <f t="shared" si="1"/>
        <v>42</v>
      </c>
      <c r="C42" s="35">
        <f>IF(OR(C41=1,C41=""),"",'Imperial Calcs'!B38)</f>
        <v>57</v>
      </c>
      <c r="D42" s="30">
        <f>IF(C42="","",'Imperial Calcs'!C38)</f>
        <v>2.0374367600000198</v>
      </c>
      <c r="E42" s="30">
        <f>IF(OR(C41=1,C41=""),"",IF('Imperial Data'!$B$2,'Imperial Calcs'!D38,'Imperial Calcs'!E38))</f>
        <v>0.30184331000000242</v>
      </c>
      <c r="F42" s="30">
        <f>IF(OR(C41=1,C41=""),"",IF('Imperial Data'!$B$2,'Imperial Calcs'!E38,'Imperial Calcs'!G38))</f>
        <v>203.74367600000198</v>
      </c>
      <c r="G42" s="30">
        <f>IF(OR(C41=1,C41=""),"",IF('Imperial Data'!$B$2,'Imperial Calcs'!F38,'Imperial Calcs'!J38))</f>
        <v>3.0184331000000242</v>
      </c>
      <c r="H42" s="30">
        <f>IF(OR(C41=1,C41=""),"",IF('Imperial Data'!$B$2,'Imperial Calcs'!G38,'Imperial Calcs'!M38))</f>
        <v>130.62848969333251</v>
      </c>
      <c r="I42" s="30">
        <f>IF(C42="","",IF('Imperial Data'!$B$2,'Imperial Calcs'!J38,'Imperial Calcs'!Y38))</f>
        <v>337.3905987933345</v>
      </c>
      <c r="J42" s="30">
        <f>IF('Imperial Data'!$B$2,'Imperial Calcs'!M38,"")</f>
        <v>22260.136088020001</v>
      </c>
      <c r="K42" s="30">
        <f>IF('Imperial Data'!$B$2,'Imperial Calcs'!Y38,"")</f>
        <v>104.75</v>
      </c>
      <c r="L42" s="37">
        <f>IF('Imperial Data'!$B$2,J42,H42)</f>
        <v>22260.136088020001</v>
      </c>
      <c r="M42" s="112">
        <f>IF('Imperial Data'!$B$2,K42,I42)</f>
        <v>104.75</v>
      </c>
      <c r="O42" s="32">
        <f t="shared" si="4"/>
        <v>104.75</v>
      </c>
      <c r="Q42" s="112">
        <f t="shared" si="8"/>
        <v>4.7500000000000071</v>
      </c>
      <c r="R42" s="32">
        <f t="shared" si="2"/>
        <v>4.7500000000000071</v>
      </c>
      <c r="S42" s="32">
        <f t="shared" si="3"/>
        <v>4048.6871855202598</v>
      </c>
      <c r="U42" s="32">
        <f t="shared" si="5"/>
        <v>1</v>
      </c>
      <c r="W42" s="30" t="str" cm="1">
        <f t="array" ref="W42">IF($AO$21="INVERT",R42,IF(W41&gt;=$S$12,"",IF(R41="","",INDEX($R$18:$R$227,$U$17-ROWS($R$18:$R41)))))</f>
        <v/>
      </c>
      <c r="X42" s="30" t="str">
        <f t="shared" si="6"/>
        <v/>
      </c>
      <c r="Y42" s="30" t="str">
        <f>IF(Y41="","",IF($AO$21="TYP",IF(S41="","",INDEX($S$18:$S$227,$U$17-ROWS($S$18:$S41))),IF($AO$21="INVERT",S42,"")))</f>
        <v/>
      </c>
      <c r="Z42" s="75" t="str">
        <f t="shared" si="7"/>
        <v/>
      </c>
      <c r="AA42" s="67"/>
      <c r="AB42" s="88"/>
      <c r="AC42" s="88"/>
      <c r="AD42" s="88"/>
      <c r="AE42" s="88"/>
      <c r="AF42" s="88"/>
      <c r="AG42" s="222"/>
      <c r="AH42" s="212" t="s">
        <v>165</v>
      </c>
      <c r="AI42" s="223">
        <f>IFERROR((AI41/AI40)*(1-AI40),"")</f>
        <v>0</v>
      </c>
      <c r="AJ42" s="88"/>
      <c r="AK42" s="147">
        <f>ROUND(MAX(IFERROR(AK41,AK36),0),2)</f>
        <v>0</v>
      </c>
      <c r="AL42" s="147">
        <f>ROUND(MAX(IFERROR(AL41,AL36),0),2)</f>
        <v>0</v>
      </c>
    </row>
    <row r="43" spans="1:38" x14ac:dyDescent="0.2">
      <c r="A43" s="32">
        <f t="shared" si="1"/>
        <v>43</v>
      </c>
      <c r="C43" s="35">
        <f>IF(OR(C42=1,C42=""),"",'Imperial Calcs'!B39)</f>
        <v>56</v>
      </c>
      <c r="D43" s="30">
        <f>IF(C43="","",'Imperial Calcs'!C39)</f>
        <v>2.1453267099999778</v>
      </c>
      <c r="E43" s="30">
        <f>IF(OR(C42=1,C42=""),"",IF('Imperial Data'!$B$2,'Imperial Calcs'!D39,'Imperial Calcs'!E39))</f>
        <v>0.32750561000000289</v>
      </c>
      <c r="F43" s="30">
        <f>IF(OR(C42=1,C42=""),"",IF('Imperial Data'!$B$2,'Imperial Calcs'!E39,'Imperial Calcs'!G39))</f>
        <v>214.53267099999778</v>
      </c>
      <c r="G43" s="30">
        <f>IF(OR(C42=1,C42=""),"",IF('Imperial Data'!$B$2,'Imperial Calcs'!F39,'Imperial Calcs'!J39))</f>
        <v>3.2750561000000289</v>
      </c>
      <c r="H43" s="30">
        <f>IF(OR(C42=1,C42=""),"",IF('Imperial Data'!$B$2,'Imperial Calcs'!G39,'Imperial Calcs'!M39))</f>
        <v>126.21024249333419</v>
      </c>
      <c r="I43" s="30">
        <f>IF(C43="","",IF('Imperial Data'!$B$2,'Imperial Calcs'!J39,'Imperial Calcs'!Y39))</f>
        <v>344.017969593332</v>
      </c>
      <c r="J43" s="30">
        <f>IF('Imperial Data'!$B$2,'Imperial Calcs'!M39,"")</f>
        <v>21922.745489226665</v>
      </c>
      <c r="K43" s="30">
        <f>IF('Imperial Data'!$B$2,'Imperial Calcs'!Y39,"")</f>
        <v>104.66666666666667</v>
      </c>
      <c r="L43" s="37">
        <f>IF('Imperial Data'!$B$2,J43,H43)</f>
        <v>21922.745489226665</v>
      </c>
      <c r="M43" s="112">
        <f>IF('Imperial Data'!$B$2,K43,I43)</f>
        <v>104.66666666666667</v>
      </c>
      <c r="O43" s="32">
        <f t="shared" si="4"/>
        <v>104.66666666666667</v>
      </c>
      <c r="Q43" s="112">
        <f t="shared" si="8"/>
        <v>4.6666666666666741</v>
      </c>
      <c r="R43" s="32">
        <f t="shared" si="2"/>
        <v>4.6666666666666741</v>
      </c>
      <c r="S43" s="32">
        <f t="shared" si="3"/>
        <v>4128.2156351195263</v>
      </c>
      <c r="U43" s="32">
        <f t="shared" si="5"/>
        <v>1</v>
      </c>
      <c r="W43" s="30" t="str" cm="1">
        <f t="array" ref="W43">IF($AO$21="INVERT",R43,IF(W42&gt;=$S$12,"",IF(R42="","",INDEX($R$18:$R$227,$U$17-ROWS($R$18:$R42)))))</f>
        <v/>
      </c>
      <c r="X43" s="30" t="str">
        <f t="shared" si="6"/>
        <v/>
      </c>
      <c r="Y43" s="30" t="str">
        <f>IF(Y42="","",IF($AO$21="TYP",IF(S42="","",INDEX($S$18:$S$227,$U$17-ROWS($S$18:$S42))),IF($AO$21="INVERT",S43,"")))</f>
        <v/>
      </c>
      <c r="Z43" s="75" t="str">
        <f t="shared" si="7"/>
        <v/>
      </c>
      <c r="AA43" s="67"/>
      <c r="AB43" s="88"/>
      <c r="AC43" s="88"/>
      <c r="AD43" s="88"/>
      <c r="AE43" s="88"/>
      <c r="AF43" s="88"/>
      <c r="AG43" s="222"/>
      <c r="AI43" s="234">
        <f>IFERROR(AI37+AI38+AI41+AI42,"")</f>
        <v>0</v>
      </c>
      <c r="AJ43" s="88"/>
      <c r="AK43" s="154" t="e">
        <f>INDEX($I$18:$I$200, MATCH($AI$33, $H$18:$H$200, 0))</f>
        <v>#N/A</v>
      </c>
      <c r="AL43" s="154" t="e">
        <f>INDEX($K$18:$K$200, MATCH($AI$33, $J$18:$J$200, 0))</f>
        <v>#N/A</v>
      </c>
    </row>
    <row r="44" spans="1:38" x14ac:dyDescent="0.2">
      <c r="A44" s="32">
        <f t="shared" si="1"/>
        <v>44</v>
      </c>
      <c r="C44" s="35">
        <f>IF(OR(C43=1,C43=""),"",'Imperial Calcs'!B40)</f>
        <v>55</v>
      </c>
      <c r="D44" s="30">
        <f>IF(C44="","",'Imperial Calcs'!C40)</f>
        <v>2.2476975000000152</v>
      </c>
      <c r="E44" s="30">
        <f>IF(OR(C43=1,C43=""),"",IF('Imperial Data'!$B$2,'Imperial Calcs'!D40,'Imperial Calcs'!E40))</f>
        <v>0.35450524999999544</v>
      </c>
      <c r="F44" s="30">
        <f>IF(OR(C43=1,C43=""),"",IF('Imperial Data'!$B$2,'Imperial Calcs'!E40,'Imperial Calcs'!G40))</f>
        <v>224.76975000000152</v>
      </c>
      <c r="G44" s="30">
        <f>IF(OR(C43=1,C43=""),"",IF('Imperial Data'!$B$2,'Imperial Calcs'!F40,'Imperial Calcs'!J40))</f>
        <v>3.5450524999999544</v>
      </c>
      <c r="H44" s="30">
        <f>IF(OR(C43=1,C43=""),"",IF('Imperial Data'!$B$2,'Imperial Calcs'!G40,'Imperial Calcs'!M40))</f>
        <v>122.00741233333272</v>
      </c>
      <c r="I44" s="30">
        <f>IF(C44="","",IF('Imperial Data'!$B$2,'Imperial Calcs'!J40,'Imperial Calcs'!Y40))</f>
        <v>350.32221483333421</v>
      </c>
      <c r="J44" s="30">
        <f>IF('Imperial Data'!$B$2,'Imperial Calcs'!M40,"")</f>
        <v>21578.727519633332</v>
      </c>
      <c r="K44" s="30">
        <f>IF('Imperial Data'!$B$2,'Imperial Calcs'!Y40,"")</f>
        <v>104.58333333333333</v>
      </c>
      <c r="L44" s="37">
        <f>IF('Imperial Data'!$B$2,J44,H44)</f>
        <v>21578.727519633332</v>
      </c>
      <c r="M44" s="112">
        <f>IF('Imperial Data'!$B$2,K44,I44)</f>
        <v>104.58333333333333</v>
      </c>
      <c r="O44" s="32">
        <f t="shared" si="4"/>
        <v>104.58333333333333</v>
      </c>
      <c r="Q44" s="112">
        <f t="shared" si="8"/>
        <v>4.583333333333341</v>
      </c>
      <c r="R44" s="32">
        <f t="shared" si="2"/>
        <v>4.583333333333341</v>
      </c>
      <c r="S44" s="32">
        <f t="shared" si="3"/>
        <v>4203.8665780002402</v>
      </c>
      <c r="U44" s="32">
        <f t="shared" si="5"/>
        <v>1</v>
      </c>
      <c r="W44" s="30" t="str" cm="1">
        <f t="array" ref="W44">IF($AO$21="INVERT",R44,IF(W43&gt;=$S$12,"",IF(R43="","",INDEX($R$18:$R$227,$U$17-ROWS($R$18:$R43)))))</f>
        <v/>
      </c>
      <c r="X44" s="30" t="str">
        <f t="shared" si="6"/>
        <v/>
      </c>
      <c r="Y44" s="30" t="str">
        <f>IF(Y43="","",IF($AO$21="TYP",IF(S43="","",INDEX($S$18:$S$227,$U$17-ROWS($S$18:$S43))),IF($AO$21="INVERT",S44,"")))</f>
        <v/>
      </c>
      <c r="Z44" s="75" t="str">
        <f t="shared" si="7"/>
        <v/>
      </c>
      <c r="AA44" s="67"/>
      <c r="AB44" s="88"/>
      <c r="AC44" s="88"/>
      <c r="AD44" s="88"/>
      <c r="AE44" s="88"/>
      <c r="AF44" s="88"/>
      <c r="AG44" s="228" t="b">
        <v>0</v>
      </c>
      <c r="AH44" s="231" t="s">
        <v>156</v>
      </c>
      <c r="AI44" s="226" t="str">
        <f>IFERROR(IF(AI35&lt;&gt;TRUE,"",ROUNDUP(IF('Imperial Data'!B2,AL58,AK58),2)),"")</f>
        <v/>
      </c>
      <c r="AJ44" s="88"/>
      <c r="AK44" s="153">
        <f>INDEX($I$18:$I$200, MATCH($AI$33, $H$18:$H$200, -11))</f>
        <v>213.33333333333331</v>
      </c>
      <c r="AL44" s="153">
        <f>INDEX($K$18:$K$200, MATCH($AI$33, $J$18:$J$200, -1))</f>
        <v>100.08333333333333</v>
      </c>
    </row>
    <row r="45" spans="1:38" x14ac:dyDescent="0.2">
      <c r="A45" s="32">
        <f t="shared" si="1"/>
        <v>45</v>
      </c>
      <c r="C45" s="35">
        <f>IF(OR(C44=1,C44=""),"",'Imperial Calcs'!B41)</f>
        <v>54</v>
      </c>
      <c r="D45" s="30">
        <f>IF(C45="","",'Imperial Calcs'!C41)</f>
        <v>2.3431431799999984</v>
      </c>
      <c r="E45" s="30">
        <f>IF(OR(C44=1,C44=""),"",IF('Imperial Data'!$B$2,'Imperial Calcs'!D41,'Imperial Calcs'!E41))</f>
        <v>0.38369900000000001</v>
      </c>
      <c r="F45" s="30">
        <f>IF(OR(C44=1,C44=""),"",IF('Imperial Data'!$B$2,'Imperial Calcs'!E41,'Imperial Calcs'!G41))</f>
        <v>234.31431799999984</v>
      </c>
      <c r="G45" s="30">
        <f>IF(OR(C44=1,C44=""),"",IF('Imperial Data'!$B$2,'Imperial Calcs'!F41,'Imperial Calcs'!J41))</f>
        <v>3.8369900000000001</v>
      </c>
      <c r="H45" s="30">
        <f>IF(OR(C44=1,C44=""),"",IF('Imperial Data'!$B$2,'Imperial Calcs'!G41,'Imperial Calcs'!M41))</f>
        <v>118.07281013333336</v>
      </c>
      <c r="I45" s="30">
        <f>IF(C45="","",IF('Imperial Data'!$B$2,'Imperial Calcs'!J41,'Imperial Calcs'!Y41))</f>
        <v>356.22411813333321</v>
      </c>
      <c r="J45" s="30">
        <f>IF('Imperial Data'!$B$2,'Imperial Calcs'!M41,"")</f>
        <v>21228.405304799999</v>
      </c>
      <c r="K45" s="30">
        <f>IF('Imperial Data'!$B$2,'Imperial Calcs'!Y41,"")</f>
        <v>104.5</v>
      </c>
      <c r="L45" s="37">
        <f>IF('Imperial Data'!$B$2,J45,H45)</f>
        <v>21228.405304799999</v>
      </c>
      <c r="M45" s="112">
        <f>IF('Imperial Data'!$B$2,K45,I45)</f>
        <v>104.5</v>
      </c>
      <c r="O45" s="32">
        <f t="shared" si="4"/>
        <v>104.5</v>
      </c>
      <c r="Q45" s="112">
        <f t="shared" si="8"/>
        <v>4.500000000000008</v>
      </c>
      <c r="R45" s="32">
        <f t="shared" si="2"/>
        <v>4.500000000000008</v>
      </c>
      <c r="S45" s="32">
        <f t="shared" si="3"/>
        <v>4274.6894176002488</v>
      </c>
      <c r="U45" s="32">
        <f t="shared" si="5"/>
        <v>1</v>
      </c>
      <c r="W45" s="30" t="str" cm="1">
        <f t="array" ref="W45">IF($AO$21="INVERT",R45,IF(W44&gt;=$S$12,"",IF(R44="","",INDEX($R$18:$R$227,$U$17-ROWS($R$18:$R44)))))</f>
        <v/>
      </c>
      <c r="X45" s="30" t="str">
        <f t="shared" si="6"/>
        <v/>
      </c>
      <c r="Y45" s="30" t="str">
        <f>IF(Y44="","",IF($AO$21="TYP",IF(S44="","",INDEX($S$18:$S$227,$U$17-ROWS($S$18:$S44))),IF($AO$21="INVERT",S45,"")))</f>
        <v/>
      </c>
      <c r="Z45" s="75" t="str">
        <f t="shared" si="7"/>
        <v/>
      </c>
      <c r="AA45" s="67"/>
      <c r="AB45" s="88"/>
      <c r="AC45" s="88"/>
      <c r="AD45" s="88"/>
      <c r="AE45" s="88"/>
      <c r="AF45" s="88"/>
      <c r="AG45" s="230"/>
      <c r="AH45" s="225" t="str">
        <f>"Remaining Volume above "&amp;AI44&amp;" ="</f>
        <v>Remaining Volume above  =</v>
      </c>
      <c r="AI45" s="227">
        <f>IFERROR(IF('Imperial Data'!B2,J18,'Cumulative Volumes Imperial'!H18)-AI43,"")</f>
        <v>28071.38489279999</v>
      </c>
      <c r="AJ45" s="88"/>
      <c r="AK45" s="153" cm="1">
        <f t="array" ref="AK45">IF(INDEX($I$18:$I$200, MATCH($AI$33, $H$18:$H$200, -1)+1)="",0,INDEX($I$18:$I$200, MATCH($AI$33, $H$18:$H$200, -1)+1))</f>
        <v>0</v>
      </c>
      <c r="AL45" s="153" cm="1">
        <f t="array" ref="AL45">IF(INDEX($K$18:$K$200, MATCH($AI$33, $J$18:$J$200, -1)+1)="",MIN($K$18:$K$200)-1/12,INDEX($K$18:$K$200, MATCH($AI$33, $J$18:$J$200, -1)+1))</f>
        <v>100</v>
      </c>
    </row>
    <row r="46" spans="1:38" x14ac:dyDescent="0.2">
      <c r="A46" s="32">
        <f t="shared" si="1"/>
        <v>46</v>
      </c>
      <c r="C46" s="35">
        <f>IF(OR(C45=1,C45=""),"",'Imperial Calcs'!B42)</f>
        <v>53</v>
      </c>
      <c r="D46" s="30">
        <f>IF(C46="","",'Imperial Calcs'!C42)</f>
        <v>2.4334489700000006</v>
      </c>
      <c r="E46" s="30">
        <f>IF(OR(C45=1,C45=""),"",IF('Imperial Data'!$B$2,'Imperial Calcs'!D42,'Imperial Calcs'!E42))</f>
        <v>0.40919427000000042</v>
      </c>
      <c r="F46" s="30">
        <f>IF(OR(C45=1,C45=""),"",IF('Imperial Data'!$B$2,'Imperial Calcs'!E42,'Imperial Calcs'!G42))</f>
        <v>243.34489700000006</v>
      </c>
      <c r="G46" s="30">
        <f>IF(OR(C45=1,C45=""),"",IF('Imperial Data'!$B$2,'Imperial Calcs'!F42,'Imperial Calcs'!J42))</f>
        <v>4.0919427000000042</v>
      </c>
      <c r="H46" s="30">
        <f>IF(OR(C45=1,C45=""),"",IF('Imperial Data'!$B$2,'Imperial Calcs'!G42,'Imperial Calcs'!M42))</f>
        <v>114.35859745333329</v>
      </c>
      <c r="I46" s="30">
        <f>IF(C46="","",IF('Imperial Data'!$B$2,'Imperial Calcs'!J42,'Imperial Calcs'!Y42))</f>
        <v>361.79543715333335</v>
      </c>
      <c r="J46" s="30">
        <f>IF('Imperial Data'!$B$2,'Imperial Calcs'!M42,"")</f>
        <v>20872.181186666665</v>
      </c>
      <c r="K46" s="30">
        <f>IF('Imperial Data'!$B$2,'Imperial Calcs'!Y42,"")</f>
        <v>104.41666666666667</v>
      </c>
      <c r="L46" s="37">
        <f>IF('Imperial Data'!$B$2,J46,H46)</f>
        <v>20872.181186666665</v>
      </c>
      <c r="M46" s="112">
        <f>IF('Imperial Data'!$B$2,K46,I46)</f>
        <v>104.41666666666667</v>
      </c>
      <c r="O46" s="32">
        <f t="shared" si="4"/>
        <v>104.41666666666667</v>
      </c>
      <c r="Q46" s="112">
        <f t="shared" si="8"/>
        <v>4.416666666666675</v>
      </c>
      <c r="R46" s="32">
        <f t="shared" si="2"/>
        <v>4.416666666666675</v>
      </c>
      <c r="S46" s="32">
        <f t="shared" si="3"/>
        <v>4341.5452458395166</v>
      </c>
      <c r="U46" s="32">
        <f t="shared" si="5"/>
        <v>1</v>
      </c>
      <c r="W46" s="30" t="str" cm="1">
        <f t="array" ref="W46">IF($AO$21="INVERT",R46,IF(W45&gt;=$S$12,"",IF(R45="","",INDEX($R$18:$R$227,$U$17-ROWS($R$18:$R45)))))</f>
        <v/>
      </c>
      <c r="X46" s="30" t="str">
        <f t="shared" si="6"/>
        <v/>
      </c>
      <c r="Y46" s="30" t="str">
        <f>IF(Y45="","",IF($AO$21="TYP",IF(S45="","",INDEX($S$18:$S$227,$U$17-ROWS($S$18:$S45))),IF($AO$21="INVERT",S46,"")))</f>
        <v/>
      </c>
      <c r="Z46" s="75" t="str">
        <f t="shared" si="7"/>
        <v/>
      </c>
      <c r="AA46" s="67"/>
      <c r="AB46" s="88"/>
      <c r="AC46" s="88"/>
      <c r="AD46" s="88"/>
      <c r="AE46" s="88"/>
      <c r="AF46" s="88"/>
      <c r="AG46" s="175"/>
      <c r="AH46" s="212"/>
      <c r="AI46" s="232"/>
      <c r="AJ46" s="88"/>
      <c r="AK46" s="153">
        <f>INDEX($H$18:$H$200, MATCH(AK44, $I$18:$I$200, 0))</f>
        <v>213.33333333333331</v>
      </c>
      <c r="AL46" s="153">
        <f>INDEX($J$18:$J$200, MATCH(AL44, $K$18:$K$200, 0))</f>
        <v>213.33333333333331</v>
      </c>
    </row>
    <row r="47" spans="1:38" x14ac:dyDescent="0.2">
      <c r="A47" s="32">
        <f t="shared" si="1"/>
        <v>47</v>
      </c>
      <c r="C47" s="35">
        <f>IF(OR(C46=1,C46=""),"",'Imperial Calcs'!B43)</f>
        <v>52</v>
      </c>
      <c r="D47" s="30">
        <f>IF(C47="","",'Imperial Calcs'!C43)</f>
        <v>2.5190624100000036</v>
      </c>
      <c r="E47" s="30">
        <f>IF(OR(C46=1,C46=""),"",IF('Imperial Data'!$B$2,'Imperial Calcs'!D43,'Imperial Calcs'!E43))</f>
        <v>0.44088044000000082</v>
      </c>
      <c r="F47" s="30">
        <f>IF(OR(C46=1,C46=""),"",IF('Imperial Data'!$B$2,'Imperial Calcs'!E43,'Imperial Calcs'!G43))</f>
        <v>251.90624100000036</v>
      </c>
      <c r="G47" s="30">
        <f>IF(OR(C46=1,C46=""),"",IF('Imperial Data'!$B$2,'Imperial Calcs'!F43,'Imperial Calcs'!J43))</f>
        <v>4.4088044000000082</v>
      </c>
      <c r="H47" s="30">
        <f>IF(OR(C46=1,C46=""),"",IF('Imperial Data'!$B$2,'Imperial Calcs'!G43,'Imperial Calcs'!M43))</f>
        <v>110.80731517333317</v>
      </c>
      <c r="I47" s="30">
        <f>IF(C47="","",IF('Imperial Data'!$B$2,'Imperial Calcs'!J43,'Imperial Calcs'!Y43))</f>
        <v>367.12236057333354</v>
      </c>
      <c r="J47" s="30">
        <f>IF('Imperial Data'!$B$2,'Imperial Calcs'!M43,"")</f>
        <v>20510.385749513331</v>
      </c>
      <c r="K47" s="30">
        <f>IF('Imperial Data'!$B$2,'Imperial Calcs'!Y43,"")</f>
        <v>104.33333333333333</v>
      </c>
      <c r="L47" s="37">
        <f>IF('Imperial Data'!$B$2,J47,H47)</f>
        <v>20510.385749513331</v>
      </c>
      <c r="M47" s="112">
        <f>IF('Imperial Data'!$B$2,K47,I47)</f>
        <v>104.33333333333333</v>
      </c>
      <c r="O47" s="32">
        <f t="shared" si="4"/>
        <v>104.33333333333333</v>
      </c>
      <c r="Q47" s="112">
        <f t="shared" si="8"/>
        <v>4.3333333333333419</v>
      </c>
      <c r="R47" s="32">
        <f t="shared" si="2"/>
        <v>4.3333333333333419</v>
      </c>
      <c r="S47" s="32">
        <f t="shared" si="3"/>
        <v>4405.4683268802355</v>
      </c>
      <c r="U47" s="32">
        <f t="shared" si="5"/>
        <v>1</v>
      </c>
      <c r="W47" s="30" t="str" cm="1">
        <f t="array" ref="W47">IF($AO$21="INVERT",R47,IF(W46&gt;=$S$12,"",IF(R46="","",INDEX($R$18:$R$227,$U$17-ROWS($R$18:$R46)))))</f>
        <v/>
      </c>
      <c r="X47" s="30" t="str">
        <f t="shared" si="6"/>
        <v/>
      </c>
      <c r="Y47" s="30" t="str">
        <f>IF(Y46="","",IF($AO$21="TYP",IF(S46="","",INDEX($S$18:$S$227,$U$17-ROWS($S$18:$S46))),IF($AO$21="INVERT",S47,"")))</f>
        <v/>
      </c>
      <c r="Z47" s="75" t="str">
        <f t="shared" si="7"/>
        <v/>
      </c>
      <c r="AA47" s="67"/>
      <c r="AB47" s="88"/>
      <c r="AC47" s="88"/>
      <c r="AD47" s="88"/>
      <c r="AE47" s="88"/>
      <c r="AF47" s="88"/>
      <c r="AG47" s="175"/>
      <c r="AH47" s="212"/>
      <c r="AI47" s="233"/>
      <c r="AJ47" s="88"/>
      <c r="AK47" s="153">
        <f>IFERROR(INDEX($H$18:$H$200, MATCH(AK45, $I$18:$I$200, 0)),0)</f>
        <v>0</v>
      </c>
      <c r="AL47" s="153">
        <f>IFERROR(INDEX($J$18:$J$200, MATCH(AL45, $K$18:$K$200, 0)),0)</f>
        <v>0</v>
      </c>
    </row>
    <row r="48" spans="1:38" x14ac:dyDescent="0.2">
      <c r="A48" s="32">
        <f t="shared" si="1"/>
        <v>48</v>
      </c>
      <c r="C48" s="35">
        <f>IF(OR(C47=1,C47=""),"",'Imperial Calcs'!B44)</f>
        <v>51</v>
      </c>
      <c r="D48" s="30">
        <f>IF(C48="","",'Imperial Calcs'!C44)</f>
        <v>2.6005697500000053</v>
      </c>
      <c r="E48" s="30">
        <f>IF(OR(C47=1,C47=""),"",IF('Imperial Data'!$B$2,'Imperial Calcs'!D44,'Imperial Calcs'!E44))</f>
        <v>0.46878259999999727</v>
      </c>
      <c r="F48" s="30">
        <f>IF(OR(C47=1,C47=""),"",IF('Imperial Data'!$B$2,'Imperial Calcs'!E44,'Imperial Calcs'!G44))</f>
        <v>260.05697500000053</v>
      </c>
      <c r="G48" s="30">
        <f>IF(OR(C47=1,C47=""),"",IF('Imperial Data'!$B$2,'Imperial Calcs'!F44,'Imperial Calcs'!J44))</f>
        <v>4.6878259999999727</v>
      </c>
      <c r="H48" s="30">
        <f>IF(OR(C47=1,C47=""),"",IF('Imperial Data'!$B$2,'Imperial Calcs'!G44,'Imperial Calcs'!M44))</f>
        <v>107.43541293333311</v>
      </c>
      <c r="I48" s="30">
        <f>IF(C48="","",IF('Imperial Data'!$B$2,'Imperial Calcs'!J44,'Imperial Calcs'!Y44))</f>
        <v>372.18021393333362</v>
      </c>
      <c r="J48" s="30">
        <f>IF('Imperial Data'!$B$2,'Imperial Calcs'!M44,"")</f>
        <v>20143.263388939999</v>
      </c>
      <c r="K48" s="30">
        <f>IF('Imperial Data'!$B$2,'Imperial Calcs'!Y44,"")</f>
        <v>104.25</v>
      </c>
      <c r="L48" s="37">
        <f>IF('Imperial Data'!$B$2,J48,H48)</f>
        <v>20143.263388939999</v>
      </c>
      <c r="M48" s="112">
        <f>IF('Imperial Data'!$B$2,K48,I48)</f>
        <v>104.25</v>
      </c>
      <c r="O48" s="32">
        <f t="shared" si="4"/>
        <v>104.25</v>
      </c>
      <c r="Q48" s="112">
        <f t="shared" si="8"/>
        <v>4.2500000000000089</v>
      </c>
      <c r="R48" s="32">
        <f t="shared" si="2"/>
        <v>4.2500000000000089</v>
      </c>
      <c r="S48" s="32">
        <f t="shared" si="3"/>
        <v>4466.1625672002619</v>
      </c>
      <c r="U48" s="32">
        <f t="shared" si="5"/>
        <v>1</v>
      </c>
      <c r="W48" s="30" t="str" cm="1">
        <f t="array" ref="W48">IF($AO$21="INVERT",R48,IF(W47&gt;=$S$12,"",IF(R47="","",INDEX($R$18:$R$227,$U$17-ROWS($R$18:$R47)))))</f>
        <v/>
      </c>
      <c r="X48" s="30" t="str">
        <f t="shared" si="6"/>
        <v/>
      </c>
      <c r="Y48" s="30" t="str">
        <f>IF(Y47="","",IF($AO$21="TYP",IF(S47="","",INDEX($S$18:$S$227,$U$17-ROWS($S$18:$S47))),IF($AO$21="INVERT",S48,"")))</f>
        <v/>
      </c>
      <c r="Z48" s="75" t="str">
        <f t="shared" si="7"/>
        <v/>
      </c>
      <c r="AA48" s="67"/>
      <c r="AB48" s="88"/>
      <c r="AC48" s="88"/>
      <c r="AD48" s="88"/>
      <c r="AE48" s="88"/>
      <c r="AF48" s="88"/>
      <c r="AG48" s="175"/>
      <c r="AH48" s="212"/>
      <c r="AI48" s="232"/>
      <c r="AJ48" s="88"/>
      <c r="AK48" s="135">
        <f>(((ROUND(AK44,2)-ROUND(AK45,2))/(ROUND(AK46,2)-ROUND(AK47,2)))*(ROUND(AK46,2)-$AI$33)-ROUND(AK44,2))*-1</f>
        <v>0</v>
      </c>
      <c r="AL48" s="135">
        <f>(((ROUND(AL44,2)-ROUND(AL45,2))/(ROUND(AL46,2)-ROUND(AL47,2)))*(ROUND(AL46,2)-$AI$33)-ROUND(AL44,2))*-1</f>
        <v>100</v>
      </c>
    </row>
    <row r="49" spans="1:38" x14ac:dyDescent="0.2">
      <c r="A49" s="32">
        <f t="shared" si="1"/>
        <v>49</v>
      </c>
      <c r="C49" s="35">
        <f>IF(OR(C48=1,C48=""),"",'Imperial Calcs'!B45)</f>
        <v>50</v>
      </c>
      <c r="D49" s="30">
        <f>IF(C49="","",'Imperial Calcs'!C45)</f>
        <v>2.6784145099999819</v>
      </c>
      <c r="E49" s="30">
        <f>IF(OR(C48=1,C48=""),"",IF('Imperial Data'!$B$2,'Imperial Calcs'!D45,'Imperial Calcs'!E45))</f>
        <v>0.49523986000000519</v>
      </c>
      <c r="F49" s="30">
        <f>IF(OR(C48=1,C48=""),"",IF('Imperial Data'!$B$2,'Imperial Calcs'!E45,'Imperial Calcs'!G45))</f>
        <v>267.84145099999819</v>
      </c>
      <c r="G49" s="30">
        <f>IF(OR(C48=1,C48=""),"",IF('Imperial Data'!$B$2,'Imperial Calcs'!F45,'Imperial Calcs'!J45))</f>
        <v>4.9523986000000519</v>
      </c>
      <c r="H49" s="30">
        <f>IF(OR(C48=1,C48=""),"",IF('Imperial Data'!$B$2,'Imperial Calcs'!G45,'Imperial Calcs'!M45))</f>
        <v>104.21579349333402</v>
      </c>
      <c r="I49" s="30">
        <f>IF(C49="","",IF('Imperial Data'!$B$2,'Imperial Calcs'!J45,'Imperial Calcs'!Y45))</f>
        <v>377.00964309333227</v>
      </c>
      <c r="J49" s="30">
        <f>IF('Imperial Data'!$B$2,'Imperial Calcs'!M45,"")</f>
        <v>19771.083175006665</v>
      </c>
      <c r="K49" s="30">
        <f>IF('Imperial Data'!$B$2,'Imperial Calcs'!Y45,"")</f>
        <v>104.16666666666667</v>
      </c>
      <c r="L49" s="37">
        <f>IF('Imperial Data'!$B$2,J49,H49)</f>
        <v>19771.083175006665</v>
      </c>
      <c r="M49" s="112">
        <f>IF('Imperial Data'!$B$2,K49,I49)</f>
        <v>104.16666666666667</v>
      </c>
      <c r="O49" s="32">
        <f t="shared" si="4"/>
        <v>104.16666666666667</v>
      </c>
      <c r="Q49" s="112">
        <f t="shared" si="8"/>
        <v>4.1666666666666758</v>
      </c>
      <c r="R49" s="32">
        <f t="shared" si="2"/>
        <v>4.1666666666666758</v>
      </c>
      <c r="S49" s="32">
        <f t="shared" si="3"/>
        <v>4524.1157171194882</v>
      </c>
      <c r="U49" s="32">
        <f t="shared" si="5"/>
        <v>1</v>
      </c>
      <c r="W49" s="30" t="str" cm="1">
        <f t="array" ref="W49">IF($AO$21="INVERT",R49,IF(W48&gt;=$S$12,"",IF(R48="","",INDEX($R$18:$R$227,$U$17-ROWS($R$18:$R48)))))</f>
        <v/>
      </c>
      <c r="X49" s="30" t="str">
        <f t="shared" si="6"/>
        <v/>
      </c>
      <c r="Y49" s="30" t="str">
        <f>IF(Y48="","",IF($AO$21="TYP",IF(S48="","",INDEX($S$18:$S$227,$U$17-ROWS($S$18:$S48))),IF($AO$21="INVERT",S49,"")))</f>
        <v/>
      </c>
      <c r="Z49" s="75" t="str">
        <f t="shared" si="7"/>
        <v/>
      </c>
      <c r="AA49" s="67"/>
      <c r="AB49" s="88"/>
      <c r="AC49" s="88"/>
      <c r="AD49" s="88"/>
      <c r="AE49" s="88"/>
      <c r="AF49" s="88"/>
      <c r="AH49" s="101"/>
      <c r="AI49" s="101"/>
      <c r="AJ49" s="88"/>
      <c r="AK49" s="147">
        <f>ROUNDUP(MAX(IFERROR(AK48,AK43),0),2)</f>
        <v>0</v>
      </c>
      <c r="AL49" s="147">
        <f>ROUNDUP(MAX(IFERROR(AL48,AL43),0),2)</f>
        <v>100</v>
      </c>
    </row>
    <row r="50" spans="1:38" x14ac:dyDescent="0.2">
      <c r="A50" s="32">
        <f t="shared" si="1"/>
        <v>50</v>
      </c>
      <c r="C50" s="35">
        <f>IF(OR(C49=1,C49=""),"",'Imperial Calcs'!B46)</f>
        <v>49</v>
      </c>
      <c r="D50" s="30">
        <f>IF(C50="","",'Imperial Calcs'!C46)</f>
        <v>2.7525687300000072</v>
      </c>
      <c r="E50" s="30">
        <f>IF(OR(C49=1,C49=""),"",IF('Imperial Data'!$B$2,'Imperial Calcs'!D46,'Imperial Calcs'!E46))</f>
        <v>0.52068376999999799</v>
      </c>
      <c r="F50" s="30">
        <f>IF(OR(C49=1,C49=""),"",IF('Imperial Data'!$B$2,'Imperial Calcs'!E46,'Imperial Calcs'!G46))</f>
        <v>275.25687300000072</v>
      </c>
      <c r="G50" s="30">
        <f>IF(OR(C49=1,C49=""),"",IF('Imperial Data'!$B$2,'Imperial Calcs'!F46,'Imperial Calcs'!J46))</f>
        <v>5.2068376999999799</v>
      </c>
      <c r="H50" s="30">
        <f>IF(OR(C49=1,C49=""),"",IF('Imperial Data'!$B$2,'Imperial Calcs'!G46,'Imperial Calcs'!M46))</f>
        <v>101.14784905333302</v>
      </c>
      <c r="I50" s="30">
        <f>IF(C50="","",IF('Imperial Data'!$B$2,'Imperial Calcs'!J46,'Imperial Calcs'!Y46))</f>
        <v>381.61155975333372</v>
      </c>
      <c r="J50" s="30">
        <f>IF('Imperial Data'!$B$2,'Imperial Calcs'!M46,"")</f>
        <v>19394.073531913331</v>
      </c>
      <c r="K50" s="30">
        <f>IF('Imperial Data'!$B$2,'Imperial Calcs'!Y46,"")</f>
        <v>104.08333333333333</v>
      </c>
      <c r="L50" s="37">
        <f>IF('Imperial Data'!$B$2,J50,H50)</f>
        <v>19394.073531913331</v>
      </c>
      <c r="M50" s="112">
        <f>IF('Imperial Data'!$B$2,K50,I50)</f>
        <v>104.08333333333333</v>
      </c>
      <c r="O50" s="32">
        <f t="shared" si="4"/>
        <v>104.08333333333333</v>
      </c>
      <c r="Q50" s="112">
        <f t="shared" si="8"/>
        <v>4.0833333333333428</v>
      </c>
      <c r="R50" s="32">
        <f t="shared" ref="R50:R81" si="9">IF(AND(C50="",C49=1),0,IF(C50="","",IF(OR(Q50=0,Q50&gt;0),Q50,"")))</f>
        <v>4.0833333333333428</v>
      </c>
      <c r="S50" s="32">
        <f t="shared" ref="S50:S81" si="10">IF(R50="","",IF(R50=0,L49/$U$11,IF(ISNUMBER(O51),(L50-L51)/(M50-M51),S49)))</f>
        <v>4579.3387170402839</v>
      </c>
      <c r="U50" s="32">
        <f t="shared" si="5"/>
        <v>1</v>
      </c>
      <c r="W50" s="30" t="str" cm="1">
        <f t="array" ref="W50">IF($AO$21="INVERT",R50,IF(W49&gt;=$S$12,"",IF(R49="","",INDEX($R$18:$R$227,$U$17-ROWS($R$18:$R49)))))</f>
        <v/>
      </c>
      <c r="X50" s="30" t="str">
        <f t="shared" si="6"/>
        <v/>
      </c>
      <c r="Y50" s="30" t="str">
        <f>IF(Y49="","",IF($AO$21="TYP",IF(S49="","",INDEX($S$18:$S$227,$U$17-ROWS($S$18:$S49))),IF($AO$21="INVERT",S50,"")))</f>
        <v/>
      </c>
      <c r="Z50" s="75" t="str">
        <f t="shared" ref="Z50:Z81" si="11">IF(Y50="","",Y50/43560)</f>
        <v/>
      </c>
      <c r="AA50" s="67"/>
      <c r="AB50" s="88"/>
      <c r="AC50" s="88"/>
      <c r="AD50" s="88"/>
      <c r="AE50" s="88"/>
      <c r="AF50" s="88"/>
      <c r="AG50" s="88"/>
      <c r="AH50" s="217"/>
      <c r="AI50" s="217"/>
      <c r="AJ50" s="88"/>
      <c r="AK50" s="133" t="s">
        <v>158</v>
      </c>
      <c r="AL50" s="134"/>
    </row>
    <row r="51" spans="1:38" x14ac:dyDescent="0.2">
      <c r="A51" s="32">
        <f t="shared" si="1"/>
        <v>51</v>
      </c>
      <c r="C51" s="35">
        <f>IF(OR(C50=1,C50=""),"",'Imperial Calcs'!B47)</f>
        <v>48</v>
      </c>
      <c r="D51" s="30">
        <f>IF(C51="","",'Imperial Calcs'!C47)</f>
        <v>2.8234385599999996</v>
      </c>
      <c r="E51" s="30">
        <f>IF(OR(C50=1,C50=""),"",IF('Imperial Data'!$B$2,'Imperial Calcs'!D47,'Imperial Calcs'!E47))</f>
        <v>0.54445281999999651</v>
      </c>
      <c r="F51" s="30">
        <f>IF(OR(C50=1,C50=""),"",IF('Imperial Data'!$B$2,'Imperial Calcs'!E47,'Imperial Calcs'!G47))</f>
        <v>282.34385599999996</v>
      </c>
      <c r="G51" s="30">
        <f>IF(OR(C50=1,C50=""),"",IF('Imperial Data'!$B$2,'Imperial Calcs'!F47,'Imperial Calcs'!J47))</f>
        <v>5.4445281999999651</v>
      </c>
      <c r="H51" s="30">
        <f>IF(OR(C50=1,C50=""),"",IF('Imperial Data'!$B$2,'Imperial Calcs'!G47,'Imperial Calcs'!M47))</f>
        <v>98.21797965333333</v>
      </c>
      <c r="I51" s="30">
        <f>IF(C51="","",IF('Imperial Data'!$B$2,'Imperial Calcs'!J47,'Imperial Calcs'!Y47))</f>
        <v>386.00636385333326</v>
      </c>
      <c r="J51" s="30">
        <f>IF('Imperial Data'!$B$2,'Imperial Calcs'!M47,"")</f>
        <v>19012.461972159996</v>
      </c>
      <c r="K51" s="30">
        <f>IF('Imperial Data'!$B$2,'Imperial Calcs'!Y47,"")</f>
        <v>104</v>
      </c>
      <c r="L51" s="37">
        <f>IF('Imperial Data'!$B$2,J51,H51)</f>
        <v>19012.461972159996</v>
      </c>
      <c r="M51" s="112">
        <f>IF('Imperial Data'!$B$2,K51,I51)</f>
        <v>104</v>
      </c>
      <c r="O51" s="32">
        <f t="shared" si="4"/>
        <v>104</v>
      </c>
      <c r="Q51" s="112">
        <f t="shared" si="8"/>
        <v>4.0000000000000098</v>
      </c>
      <c r="R51" s="32">
        <f t="shared" si="9"/>
        <v>4.0000000000000098</v>
      </c>
      <c r="S51" s="32">
        <f t="shared" si="10"/>
        <v>4632.0763662402478</v>
      </c>
      <c r="U51" s="32">
        <f t="shared" si="5"/>
        <v>1</v>
      </c>
      <c r="W51" s="30" t="str" cm="1">
        <f t="array" ref="W51">IF($AO$21="INVERT",R51,IF(W50&gt;=$S$12,"",IF(R50="","",INDEX($R$18:$R$227,$U$17-ROWS($R$18:$R50)))))</f>
        <v/>
      </c>
      <c r="X51" s="30" t="str">
        <f t="shared" si="6"/>
        <v/>
      </c>
      <c r="Y51" s="30" t="str">
        <f>IF(Y50="","",IF($AO$21="TYP",IF(S50="","",INDEX($S$18:$S$227,$U$17-ROWS($S$18:$S50))),IF($AO$21="INVERT",S51,"")))</f>
        <v/>
      </c>
      <c r="Z51" s="75" t="str">
        <f t="shared" si="11"/>
        <v/>
      </c>
      <c r="AA51" s="67"/>
      <c r="AB51" s="88"/>
      <c r="AC51" s="88"/>
      <c r="AD51" s="88"/>
      <c r="AE51" s="88"/>
      <c r="AF51" s="88"/>
      <c r="AG51" s="88"/>
      <c r="AH51" s="88"/>
      <c r="AI51" s="88"/>
      <c r="AJ51" s="88"/>
      <c r="AK51" s="218" t="s">
        <v>126</v>
      </c>
      <c r="AL51" s="218" t="s">
        <v>127</v>
      </c>
    </row>
    <row r="52" spans="1:38" x14ac:dyDescent="0.2">
      <c r="A52" s="32">
        <f t="shared" si="1"/>
        <v>52</v>
      </c>
      <c r="C52" s="35">
        <f>IF(OR(C51=1,C51=""),"",'Imperial Calcs'!B48)</f>
        <v>47</v>
      </c>
      <c r="D52" s="30">
        <f>IF(C52="","",'Imperial Calcs'!C48)</f>
        <v>2.8914099700000122</v>
      </c>
      <c r="E52" s="30">
        <f>IF(OR(C51=1,C51=""),"",IF('Imperial Data'!$B$2,'Imperial Calcs'!D48,'Imperial Calcs'!E48))</f>
        <v>0.56677041000000372</v>
      </c>
      <c r="F52" s="30">
        <f>IF(OR(C51=1,C51=""),"",IF('Imperial Data'!$B$2,'Imperial Calcs'!E48,'Imperial Calcs'!G48))</f>
        <v>289.14099700000122</v>
      </c>
      <c r="G52" s="30">
        <f>IF(OR(C51=1,C51=""),"",IF('Imperial Data'!$B$2,'Imperial Calcs'!F48,'Imperial Calcs'!J48))</f>
        <v>5.6677041000000372</v>
      </c>
      <c r="H52" s="30">
        <f>IF(OR(C51=1,C51=""),"",IF('Imperial Data'!$B$2,'Imperial Calcs'!G48,'Imperial Calcs'!M48))</f>
        <v>95.409852893332811</v>
      </c>
      <c r="I52" s="30">
        <f>IF(C52="","",IF('Imperial Data'!$B$2,'Imperial Calcs'!J48,'Imperial Calcs'!Y48))</f>
        <v>390.21855399333407</v>
      </c>
      <c r="J52" s="30">
        <f>IF('Imperial Data'!$B$2,'Imperial Calcs'!M48,"")</f>
        <v>18626.455608306664</v>
      </c>
      <c r="K52" s="30">
        <f>IF('Imperial Data'!$B$2,'Imperial Calcs'!Y48,"")</f>
        <v>103.91666666666667</v>
      </c>
      <c r="L52" s="37">
        <f>IF('Imperial Data'!$B$2,J52,H52)</f>
        <v>18626.455608306664</v>
      </c>
      <c r="M52" s="112">
        <f>IF('Imperial Data'!$B$2,K52,I52)</f>
        <v>103.91666666666667</v>
      </c>
      <c r="O52" s="32">
        <f t="shared" si="4"/>
        <v>103.91666666666667</v>
      </c>
      <c r="Q52" s="112">
        <f t="shared" si="8"/>
        <v>3.9166666666666763</v>
      </c>
      <c r="R52" s="32">
        <f t="shared" si="9"/>
        <v>3.9166666666666763</v>
      </c>
      <c r="S52" s="32">
        <f t="shared" si="10"/>
        <v>4682.6226479194802</v>
      </c>
      <c r="U52" s="32">
        <f t="shared" si="5"/>
        <v>1</v>
      </c>
      <c r="W52" s="30" t="str" cm="1">
        <f t="array" ref="W52">IF($AO$21="INVERT",R52,IF(W51&gt;=$S$12,"",IF(R51="","",INDEX($R$18:$R$227,$U$17-ROWS($R$18:$R51)))))</f>
        <v/>
      </c>
      <c r="X52" s="30" t="str">
        <f t="shared" si="6"/>
        <v/>
      </c>
      <c r="Y52" s="30" t="str">
        <f>IF(Y51="","",IF($AO$21="TYP",IF(S51="","",INDEX($S$18:$S$227,$U$17-ROWS($S$18:$S51))),IF($AO$21="INVERT",S52,"")))</f>
        <v/>
      </c>
      <c r="Z52" s="75" t="str">
        <f t="shared" si="11"/>
        <v/>
      </c>
      <c r="AA52" s="67"/>
      <c r="AB52" s="88"/>
      <c r="AC52" s="88"/>
      <c r="AD52" s="88"/>
      <c r="AE52" s="88"/>
      <c r="AF52" s="88"/>
      <c r="AG52" s="88"/>
      <c r="AH52" s="88"/>
      <c r="AI52" s="88"/>
      <c r="AJ52" s="88"/>
      <c r="AK52" s="154" t="e">
        <f>INDEX($I$18:$I$200, MATCH($AI$43, $H$18:$H$200, 0))</f>
        <v>#N/A</v>
      </c>
      <c r="AL52" s="154" t="e">
        <f>INDEX($K$18:$K$200, MATCH($AI$43, $J$18:$J$200, 0))</f>
        <v>#N/A</v>
      </c>
    </row>
    <row r="53" spans="1:38" x14ac:dyDescent="0.2">
      <c r="A53" s="32">
        <f t="shared" si="1"/>
        <v>53</v>
      </c>
      <c r="C53" s="35">
        <f>IF(OR(C52=1,C52=""),"",'Imperial Calcs'!B49)</f>
        <v>46</v>
      </c>
      <c r="D53" s="30">
        <f>IF(C53="","",'Imperial Calcs'!C49)</f>
        <v>2.9563583899999912</v>
      </c>
      <c r="E53" s="30">
        <f>IF(OR(C52=1,C52=""),"",IF('Imperial Data'!$B$2,'Imperial Calcs'!D49,'Imperial Calcs'!E49))</f>
        <v>0.58851943999999889</v>
      </c>
      <c r="F53" s="30">
        <f>IF(OR(C52=1,C52=""),"",IF('Imperial Data'!$B$2,'Imperial Calcs'!E49,'Imperial Calcs'!G49))</f>
        <v>295.63583899999912</v>
      </c>
      <c r="G53" s="30">
        <f>IF(OR(C52=1,C52=""),"",IF('Imperial Data'!$B$2,'Imperial Calcs'!F49,'Imperial Calcs'!J49))</f>
        <v>5.8851943999999889</v>
      </c>
      <c r="H53" s="30">
        <f>IF(OR(C52=1,C52=""),"",IF('Imperial Data'!$B$2,'Imperial Calcs'!G49,'Imperial Calcs'!M49))</f>
        <v>92.72491997333367</v>
      </c>
      <c r="I53" s="30">
        <f>IF(C53="","",IF('Imperial Data'!$B$2,'Imperial Calcs'!J49,'Imperial Calcs'!Y49))</f>
        <v>394.24595337333278</v>
      </c>
      <c r="J53" s="30">
        <f>IF('Imperial Data'!$B$2,'Imperial Calcs'!M49,"")</f>
        <v>18236.237054313329</v>
      </c>
      <c r="K53" s="30">
        <f>IF('Imperial Data'!$B$2,'Imperial Calcs'!Y49,"")</f>
        <v>103.83333333333333</v>
      </c>
      <c r="L53" s="37">
        <f>IF('Imperial Data'!$B$2,J53,H53)</f>
        <v>18236.237054313329</v>
      </c>
      <c r="M53" s="112">
        <f>IF('Imperial Data'!$B$2,K53,I53)</f>
        <v>103.83333333333333</v>
      </c>
      <c r="O53" s="32">
        <f t="shared" si="4"/>
        <v>103.83333333333333</v>
      </c>
      <c r="Q53" s="112">
        <f t="shared" si="8"/>
        <v>3.8333333333333428</v>
      </c>
      <c r="R53" s="32">
        <f t="shared" si="9"/>
        <v>3.8333333333333428</v>
      </c>
      <c r="S53" s="32">
        <f t="shared" si="10"/>
        <v>4730.9514404802831</v>
      </c>
      <c r="U53" s="32">
        <f t="shared" si="5"/>
        <v>1</v>
      </c>
      <c r="W53" s="30" t="str" cm="1">
        <f t="array" ref="W53">IF($AO$21="INVERT",R53,IF(W52&gt;=$S$12,"",IF(R52="","",INDEX($R$18:$R$227,$U$17-ROWS($R$18:$R52)))))</f>
        <v/>
      </c>
      <c r="X53" s="30" t="str">
        <f t="shared" si="6"/>
        <v/>
      </c>
      <c r="Y53" s="30" t="str">
        <f>IF(Y52="","",IF($AO$21="TYP",IF(S52="","",INDEX($S$18:$S$227,$U$17-ROWS($S$18:$S52))),IF($AO$21="INVERT",S53,"")))</f>
        <v/>
      </c>
      <c r="Z53" s="75" t="str">
        <f t="shared" si="11"/>
        <v/>
      </c>
      <c r="AA53" s="67"/>
      <c r="AB53" s="88"/>
      <c r="AC53" s="88"/>
      <c r="AD53" s="88"/>
      <c r="AE53" s="88"/>
      <c r="AF53" s="88"/>
      <c r="AG53" s="88"/>
      <c r="AH53" s="88"/>
      <c r="AI53" s="88"/>
      <c r="AJ53" s="88"/>
      <c r="AK53" s="153">
        <f>INDEX($I$18:$I$200, MATCH($AI$43, $H$18:$H$200, -1))</f>
        <v>213.33333333333331</v>
      </c>
      <c r="AL53" s="153">
        <f>INDEX($K$18:$K$200, MATCH($AI$43, $J$18:$J$200, -1))</f>
        <v>100.08333333333333</v>
      </c>
    </row>
    <row r="54" spans="1:38" x14ac:dyDescent="0.2">
      <c r="A54" s="32">
        <f t="shared" si="1"/>
        <v>54</v>
      </c>
      <c r="C54" s="35">
        <f>IF(OR(C53=1,C53=""),"",'Imperial Calcs'!B50)</f>
        <v>45</v>
      </c>
      <c r="D54" s="30">
        <f>IF(C54="","",'Imperial Calcs'!C50)</f>
        <v>3.018770939999996</v>
      </c>
      <c r="E54" s="30">
        <f>IF(OR(C53=1,C53=""),"",IF('Imperial Data'!$B$2,'Imperial Calcs'!D50,'Imperial Calcs'!E50))</f>
        <v>0.61002204000000049</v>
      </c>
      <c r="F54" s="30">
        <f>IF(OR(C53=1,C53=""),"",IF('Imperial Data'!$B$2,'Imperial Calcs'!E50,'Imperial Calcs'!G50))</f>
        <v>301.8770939999996</v>
      </c>
      <c r="G54" s="30">
        <f>IF(OR(C53=1,C53=""),"",IF('Imperial Data'!$B$2,'Imperial Calcs'!F50,'Imperial Calcs'!J50))</f>
        <v>6.1002204000000049</v>
      </c>
      <c r="H54" s="30">
        <f>IF(OR(C53=1,C53=""),"",IF('Imperial Data'!$B$2,'Imperial Calcs'!G50,'Imperial Calcs'!M50))</f>
        <v>90.142407573333458</v>
      </c>
      <c r="I54" s="30">
        <f>IF(C54="","",IF('Imperial Data'!$B$2,'Imperial Calcs'!J50,'Imperial Calcs'!Y50))</f>
        <v>398.11972197333307</v>
      </c>
      <c r="J54" s="30">
        <f>IF('Imperial Data'!$B$2,'Imperial Calcs'!M50,"")</f>
        <v>17841.991100939995</v>
      </c>
      <c r="K54" s="30">
        <f>IF('Imperial Data'!$B$2,'Imperial Calcs'!Y50,"")</f>
        <v>103.75</v>
      </c>
      <c r="L54" s="37">
        <f>IF('Imperial Data'!$B$2,J54,H54)</f>
        <v>17841.991100939995</v>
      </c>
      <c r="M54" s="112">
        <f>IF('Imperial Data'!$B$2,K54,I54)</f>
        <v>103.75</v>
      </c>
      <c r="O54" s="32">
        <f t="shared" si="4"/>
        <v>103.75</v>
      </c>
      <c r="Q54" s="112">
        <f t="shared" si="8"/>
        <v>3.7500000000000093</v>
      </c>
      <c r="R54" s="32">
        <f t="shared" si="9"/>
        <v>3.7500000000000093</v>
      </c>
      <c r="S54" s="32">
        <f t="shared" si="10"/>
        <v>4777.4366636802688</v>
      </c>
      <c r="U54" s="32">
        <f t="shared" si="5"/>
        <v>1</v>
      </c>
      <c r="W54" s="30" t="str" cm="1">
        <f t="array" ref="W54">IF($AO$21="INVERT",R54,IF(W53&gt;=$S$12,"",IF(R53="","",INDEX($R$18:$R$227,$U$17-ROWS($R$18:$R53)))))</f>
        <v/>
      </c>
      <c r="X54" s="30" t="str">
        <f t="shared" si="6"/>
        <v/>
      </c>
      <c r="Y54" s="30" t="str">
        <f>IF(Y53="","",IF($AO$21="TYP",IF(S53="","",INDEX($S$18:$S$227,$U$17-ROWS($S$18:$S53))),IF($AO$21="INVERT",S54,"")))</f>
        <v/>
      </c>
      <c r="Z54" s="75" t="str">
        <f t="shared" si="11"/>
        <v/>
      </c>
      <c r="AA54" s="67"/>
      <c r="AB54" s="88"/>
      <c r="AC54" s="88"/>
      <c r="AD54" s="88"/>
      <c r="AE54" s="88"/>
      <c r="AF54" s="88"/>
      <c r="AG54" s="88"/>
      <c r="AH54" s="88"/>
      <c r="AI54" s="88"/>
      <c r="AJ54" s="88"/>
      <c r="AK54" s="153">
        <f>IFERROR(INDEX($I$18:$I$200, MATCH($AI$43, $H$18:$H$200, 1)), MIN($I$18:$I$200)-1/12)</f>
        <v>213.24999999999997</v>
      </c>
      <c r="AL54" s="153">
        <f>IFERROR(INDEX($K$18:$K$200, MATCH($AI$43, $J$18:$J$200, 1)), MIN($K$18:$K$200)-1/12)</f>
        <v>100</v>
      </c>
    </row>
    <row r="55" spans="1:38" x14ac:dyDescent="0.2">
      <c r="A55" s="32">
        <f t="shared" si="1"/>
        <v>55</v>
      </c>
      <c r="C55" s="35">
        <f>IF(OR(C54=1,C54=""),"",'Imperial Calcs'!B51)</f>
        <v>44</v>
      </c>
      <c r="D55" s="30">
        <f>IF(C55="","",'Imperial Calcs'!C51)</f>
        <v>3.0786373800000035</v>
      </c>
      <c r="E55" s="30">
        <f>IF(OR(C54=1,C54=""),"",IF('Imperial Data'!$B$2,'Imperial Calcs'!D51,'Imperial Calcs'!E51))</f>
        <v>0.63213495000000108</v>
      </c>
      <c r="F55" s="30">
        <f>IF(OR(C54=1,C54=""),"",IF('Imperial Data'!$B$2,'Imperial Calcs'!E51,'Imperial Calcs'!G51))</f>
        <v>307.86373800000035</v>
      </c>
      <c r="G55" s="30">
        <f>IF(OR(C54=1,C54=""),"",IF('Imperial Data'!$B$2,'Imperial Calcs'!F51,'Imperial Calcs'!J51))</f>
        <v>6.3213495000000108</v>
      </c>
      <c r="H55" s="30">
        <f>IF(OR(C54=1,C54=""),"",IF('Imperial Data'!$B$2,'Imperial Calcs'!G51,'Imperial Calcs'!M51))</f>
        <v>87.659298333333169</v>
      </c>
      <c r="I55" s="30">
        <f>IF(C55="","",IF('Imperial Data'!$B$2,'Imperial Calcs'!J51,'Imperial Calcs'!Y51))</f>
        <v>401.84438583333355</v>
      </c>
      <c r="J55" s="30">
        <f>IF('Imperial Data'!$B$2,'Imperial Calcs'!M51,"")</f>
        <v>17443.871378966662</v>
      </c>
      <c r="K55" s="30">
        <f>IF('Imperial Data'!$B$2,'Imperial Calcs'!Y51,"")</f>
        <v>103.66666666666667</v>
      </c>
      <c r="L55" s="37">
        <f>IF('Imperial Data'!$B$2,J55,H55)</f>
        <v>17443.871378966662</v>
      </c>
      <c r="M55" s="112">
        <f>IF('Imperial Data'!$B$2,K55,I55)</f>
        <v>103.66666666666667</v>
      </c>
      <c r="O55" s="32">
        <f t="shared" si="4"/>
        <v>103.66666666666667</v>
      </c>
      <c r="Q55" s="112">
        <f t="shared" si="8"/>
        <v>3.6666666666666758</v>
      </c>
      <c r="R55" s="32">
        <f t="shared" si="9"/>
        <v>3.6666666666666758</v>
      </c>
      <c r="S55" s="32">
        <f t="shared" si="10"/>
        <v>4822.1326299994589</v>
      </c>
      <c r="U55" s="32">
        <f t="shared" si="5"/>
        <v>1</v>
      </c>
      <c r="W55" s="30" t="str" cm="1">
        <f t="array" ref="W55">IF($AO$21="INVERT",R55,IF(W54&gt;=$S$12,"",IF(R54="","",INDEX($R$18:$R$227,$U$17-ROWS($R$18:$R54)))))</f>
        <v/>
      </c>
      <c r="X55" s="30" t="str">
        <f t="shared" si="6"/>
        <v/>
      </c>
      <c r="Y55" s="30" t="str">
        <f>IF(Y54="","",IF($AO$21="TYP",IF(S54="","",INDEX($S$18:$S$227,$U$17-ROWS($S$18:$S54))),IF($AO$21="INVERT",S55,"")))</f>
        <v/>
      </c>
      <c r="Z55" s="75" t="str">
        <f t="shared" si="11"/>
        <v/>
      </c>
      <c r="AA55" s="67"/>
      <c r="AB55" s="88"/>
      <c r="AC55" s="88"/>
      <c r="AD55" s="88"/>
      <c r="AE55" s="88"/>
      <c r="AF55" s="88"/>
      <c r="AG55" s="88"/>
      <c r="AH55" s="88"/>
      <c r="AI55" s="88"/>
      <c r="AJ55" s="88"/>
      <c r="AK55" s="153">
        <f>INDEX($H$18:$H$200, MATCH(AK53, $I$18:$I$200, 0))</f>
        <v>213.33333333333331</v>
      </c>
      <c r="AL55" s="153">
        <f>INDEX($J$18:$J$200, MATCH(AL53, $K$18:$K$200, 0))</f>
        <v>213.33333333333331</v>
      </c>
    </row>
    <row r="56" spans="1:38" x14ac:dyDescent="0.2">
      <c r="A56" s="32">
        <f t="shared" si="1"/>
        <v>56</v>
      </c>
      <c r="C56" s="35">
        <f>IF(OR(C55=1,C55=""),"",'Imperial Calcs'!B52)</f>
        <v>43</v>
      </c>
      <c r="D56" s="30">
        <f>IF(C56="","",'Imperial Calcs'!C52)</f>
        <v>3.1362803099999894</v>
      </c>
      <c r="E56" s="30">
        <f>IF(OR(C55=1,C55=""),"",IF('Imperial Data'!$B$2,'Imperial Calcs'!D52,'Imperial Calcs'!E52))</f>
        <v>0.64308889999999863</v>
      </c>
      <c r="F56" s="30">
        <f>IF(OR(C55=1,C55=""),"",IF('Imperial Data'!$B$2,'Imperial Calcs'!E52,'Imperial Calcs'!G52))</f>
        <v>313.62803099999894</v>
      </c>
      <c r="G56" s="30">
        <f>IF(OR(C55=1,C55=""),"",IF('Imperial Data'!$B$2,'Imperial Calcs'!F52,'Imperial Calcs'!J52))</f>
        <v>6.4308889999999863</v>
      </c>
      <c r="H56" s="30">
        <f>IF(OR(C55=1,C55=""),"",IF('Imperial Data'!$B$2,'Imperial Calcs'!G52,'Imperial Calcs'!M52))</f>
        <v>85.309765333333743</v>
      </c>
      <c r="I56" s="30">
        <f>IF(C56="","",IF('Imperial Data'!$B$2,'Imperial Calcs'!J52,'Imperial Calcs'!Y52))</f>
        <v>405.36868533333268</v>
      </c>
      <c r="J56" s="30">
        <f>IF('Imperial Data'!$B$2,'Imperial Calcs'!M52,"")</f>
        <v>17042.026993133328</v>
      </c>
      <c r="K56" s="30">
        <f>IF('Imperial Data'!$B$2,'Imperial Calcs'!Y52,"")</f>
        <v>103.58333333333333</v>
      </c>
      <c r="L56" s="37">
        <f>IF('Imperial Data'!$B$2,J56,H56)</f>
        <v>17042.026993133328</v>
      </c>
      <c r="M56" s="112">
        <f>IF('Imperial Data'!$B$2,K56,I56)</f>
        <v>103.58333333333333</v>
      </c>
      <c r="O56" s="32">
        <f t="shared" si="4"/>
        <v>103.58333333333333</v>
      </c>
      <c r="Q56" s="112">
        <f t="shared" si="8"/>
        <v>3.5833333333333424</v>
      </c>
      <c r="R56" s="32">
        <f t="shared" si="9"/>
        <v>3.5833333333333424</v>
      </c>
      <c r="S56" s="32">
        <f t="shared" si="10"/>
        <v>4864.4242240002495</v>
      </c>
      <c r="U56" s="32">
        <f t="shared" si="5"/>
        <v>1</v>
      </c>
      <c r="W56" s="30" t="str" cm="1">
        <f t="array" ref="W56">IF($AO$21="INVERT",R56,IF(W55&gt;=$S$12,"",IF(R55="","",INDEX($R$18:$R$227,$U$17-ROWS($R$18:$R55)))))</f>
        <v/>
      </c>
      <c r="X56" s="30" t="str">
        <f t="shared" si="6"/>
        <v/>
      </c>
      <c r="Y56" s="30" t="str">
        <f>IF(Y55="","",IF($AO$21="TYP",IF(S55="","",INDEX($S$18:$S$227,$U$17-ROWS($S$18:$S55))),IF($AO$21="INVERT",S56,"")))</f>
        <v/>
      </c>
      <c r="Z56" s="75" t="str">
        <f t="shared" si="11"/>
        <v/>
      </c>
      <c r="AA56" s="67"/>
      <c r="AB56" s="88"/>
      <c r="AC56" s="88"/>
      <c r="AD56" s="88"/>
      <c r="AE56" s="88"/>
      <c r="AF56" s="88"/>
      <c r="AG56" s="88"/>
      <c r="AH56" s="88"/>
      <c r="AI56" s="88"/>
      <c r="AJ56" s="88"/>
      <c r="AK56" s="153">
        <f>IFERROR(INDEX($H$18:$H$200, MATCH(AK54, $I$18:$I$200, 0)),0)</f>
        <v>0</v>
      </c>
      <c r="AL56" s="153">
        <f>IFERROR(INDEX($J$18:$J$200, MATCH(AL54, $K$18:$K$200, 0)),0)</f>
        <v>0</v>
      </c>
    </row>
    <row r="57" spans="1:38" x14ac:dyDescent="0.2">
      <c r="A57" s="32">
        <f t="shared" si="1"/>
        <v>57</v>
      </c>
      <c r="C57" s="35">
        <f>IF(OR(C56=1,C56=""),"",'Imperial Calcs'!B53)</f>
        <v>42</v>
      </c>
      <c r="D57" s="30">
        <f>IF(C57="","",'Imperial Calcs'!C53)</f>
        <v>3.1917693700000029</v>
      </c>
      <c r="E57" s="30">
        <f>IF(OR(C56=1,C56=""),"",IF('Imperial Data'!$B$2,'Imperial Calcs'!D53,'Imperial Calcs'!E53))</f>
        <v>0.67730135000000047</v>
      </c>
      <c r="F57" s="30">
        <f>IF(OR(C56=1,C56=""),"",IF('Imperial Data'!$B$2,'Imperial Calcs'!E53,'Imperial Calcs'!G53))</f>
        <v>319.17693700000029</v>
      </c>
      <c r="G57" s="30">
        <f>IF(OR(C56=1,C56=""),"",IF('Imperial Data'!$B$2,'Imperial Calcs'!F53,'Imperial Calcs'!J53))</f>
        <v>6.7730135000000047</v>
      </c>
      <c r="H57" s="30">
        <f>IF(OR(C56=1,C56=""),"",IF('Imperial Data'!$B$2,'Imperial Calcs'!G53,'Imperial Calcs'!M53))</f>
        <v>82.953353133333195</v>
      </c>
      <c r="I57" s="30">
        <f>IF(C57="","",IF('Imperial Data'!$B$2,'Imperial Calcs'!J53,'Imperial Calcs'!Y53))</f>
        <v>408.90330363333351</v>
      </c>
      <c r="J57" s="30">
        <f>IF('Imperial Data'!$B$2,'Imperial Calcs'!M53,"")</f>
        <v>16636.658307799997</v>
      </c>
      <c r="K57" s="30">
        <f>IF('Imperial Data'!$B$2,'Imperial Calcs'!Y53,"")</f>
        <v>103.5</v>
      </c>
      <c r="L57" s="37">
        <f>IF('Imperial Data'!$B$2,J57,H57)</f>
        <v>16636.658307799997</v>
      </c>
      <c r="M57" s="112">
        <f>IF('Imperial Data'!$B$2,K57,I57)</f>
        <v>103.5</v>
      </c>
      <c r="O57" s="32">
        <f t="shared" si="4"/>
        <v>103.5</v>
      </c>
      <c r="Q57" s="112">
        <f t="shared" si="8"/>
        <v>3.5000000000000089</v>
      </c>
      <c r="R57" s="32">
        <f t="shared" si="9"/>
        <v>3.5000000000000089</v>
      </c>
      <c r="S57" s="32">
        <f t="shared" si="10"/>
        <v>4906.8396436002758</v>
      </c>
      <c r="U57" s="32">
        <f t="shared" si="5"/>
        <v>1</v>
      </c>
      <c r="W57" s="30" t="str" cm="1">
        <f t="array" ref="W57">IF($AO$21="INVERT",R57,IF(W56&gt;=$S$12,"",IF(R56="","",INDEX($R$18:$R$227,$U$17-ROWS($R$18:$R56)))))</f>
        <v/>
      </c>
      <c r="X57" s="30" t="str">
        <f t="shared" si="6"/>
        <v/>
      </c>
      <c r="Y57" s="30" t="str">
        <f>IF(Y56="","",IF($AO$21="TYP",IF(S56="","",INDEX($S$18:$S$227,$U$17-ROWS($S$18:$S56))),IF($AO$21="INVERT",S57,"")))</f>
        <v/>
      </c>
      <c r="Z57" s="75" t="str">
        <f t="shared" si="11"/>
        <v/>
      </c>
      <c r="AA57" s="67"/>
      <c r="AB57" s="88"/>
      <c r="AC57" s="88"/>
      <c r="AD57" s="88"/>
      <c r="AE57" s="88"/>
      <c r="AF57" s="88"/>
      <c r="AG57" s="88"/>
      <c r="AH57" s="88"/>
      <c r="AI57" s="88"/>
      <c r="AJ57" s="88"/>
      <c r="AK57" s="135">
        <f>(((ROUND(AK53,2)-ROUND(AK54,2))/(ROUND(AK55,2)-ROUND(AK56,2)))*(ROUND(AK55,2)-$AI$43)-ROUND(AK53,2))*-1</f>
        <v>213.25</v>
      </c>
      <c r="AL57" s="135">
        <f>(((ROUND(AL53,2)-ROUND(AL54,2))/(ROUND(AL55,2)-ROUND(AL56,2)))*(ROUND(AL55,2)-$AI$43)-ROUND(AL53,2))*-1</f>
        <v>100</v>
      </c>
    </row>
    <row r="58" spans="1:38" x14ac:dyDescent="0.2">
      <c r="A58" s="32">
        <f t="shared" si="1"/>
        <v>58</v>
      </c>
      <c r="C58" s="35">
        <f>IF(OR(C57=1,C57=""),"",'Imperial Calcs'!B54)</f>
        <v>41</v>
      </c>
      <c r="D58" s="30">
        <f>IF(C58="","",'Imperial Calcs'!C54)</f>
        <v>3.2450176300000066</v>
      </c>
      <c r="E58" s="30">
        <f>IF(OR(C57=1,C57=""),"",IF('Imperial Data'!$B$2,'Imperial Calcs'!D54,'Imperial Calcs'!E54))</f>
        <v>0.69982942000000037</v>
      </c>
      <c r="F58" s="30">
        <f>IF(OR(C57=1,C57=""),"",IF('Imperial Data'!$B$2,'Imperial Calcs'!E54,'Imperial Calcs'!G54))</f>
        <v>324.50176300000066</v>
      </c>
      <c r="G58" s="30">
        <f>IF(OR(C57=1,C57=""),"",IF('Imperial Data'!$B$2,'Imperial Calcs'!F54,'Imperial Calcs'!J54))</f>
        <v>6.9982942000000037</v>
      </c>
      <c r="H58" s="30">
        <f>IF(OR(C57=1,C57=""),"",IF('Imperial Data'!$B$2,'Imperial Calcs'!G54,'Imperial Calcs'!M54))</f>
        <v>80.733310453333033</v>
      </c>
      <c r="I58" s="30">
        <f>IF(C58="","",IF('Imperial Data'!$B$2,'Imperial Calcs'!J54,'Imperial Calcs'!Y54))</f>
        <v>412.23336765333369</v>
      </c>
      <c r="J58" s="30">
        <f>IF('Imperial Data'!$B$2,'Imperial Calcs'!M54,"")</f>
        <v>16227.755004166664</v>
      </c>
      <c r="K58" s="30">
        <f>IF('Imperial Data'!$B$2,'Imperial Calcs'!Y54,"")</f>
        <v>103.41666666666667</v>
      </c>
      <c r="L58" s="37">
        <f>IF('Imperial Data'!$B$2,J58,H58)</f>
        <v>16227.755004166664</v>
      </c>
      <c r="M58" s="112">
        <f>IF('Imperial Data'!$B$2,K58,I58)</f>
        <v>103.41666666666667</v>
      </c>
      <c r="O58" s="32">
        <f t="shared" si="4"/>
        <v>103.41666666666667</v>
      </c>
      <c r="Q58" s="112">
        <f t="shared" si="8"/>
        <v>3.4166666666666754</v>
      </c>
      <c r="R58" s="32">
        <f t="shared" si="9"/>
        <v>3.4166666666666754</v>
      </c>
      <c r="S58" s="32">
        <f t="shared" si="10"/>
        <v>4946.800411839451</v>
      </c>
      <c r="U58" s="32">
        <f t="shared" si="5"/>
        <v>1</v>
      </c>
      <c r="W58" s="30" t="str" cm="1">
        <f t="array" ref="W58">IF($AO$21="INVERT",R58,IF(W57&gt;=$S$12,"",IF(R57="","",INDEX($R$18:$R$227,$U$17-ROWS($R$18:$R57)))))</f>
        <v/>
      </c>
      <c r="X58" s="30" t="str">
        <f t="shared" si="6"/>
        <v/>
      </c>
      <c r="Y58" s="30" t="str">
        <f>IF(Y57="","",IF($AO$21="TYP",IF(S57="","",INDEX($S$18:$S$227,$U$17-ROWS($S$18:$S57))),IF($AO$21="INVERT",S58,"")))</f>
        <v/>
      </c>
      <c r="Z58" s="75" t="str">
        <f t="shared" si="11"/>
        <v/>
      </c>
      <c r="AA58" s="67"/>
      <c r="AB58" s="88"/>
      <c r="AC58" s="88"/>
      <c r="AD58" s="88"/>
      <c r="AE58" s="88"/>
      <c r="AF58" s="88"/>
      <c r="AG58" s="88"/>
      <c r="AH58" s="88"/>
      <c r="AI58" s="88"/>
      <c r="AJ58" s="88"/>
      <c r="AK58" s="147">
        <f>ROUNDUP(MAX(IFERROR(AK57,AK52),0),2)</f>
        <v>213.25</v>
      </c>
      <c r="AL58" s="147">
        <f>ROUNDUP(MAX(IFERROR(AL57,AL52),0),2)</f>
        <v>100</v>
      </c>
    </row>
    <row r="59" spans="1:38" x14ac:dyDescent="0.2">
      <c r="A59" s="32">
        <f t="shared" si="1"/>
        <v>59</v>
      </c>
      <c r="C59" s="35">
        <f>IF(OR(C58=1,C58=""),"",'Imperial Calcs'!B55)</f>
        <v>40</v>
      </c>
      <c r="D59" s="30">
        <f>IF(C59="","",'Imperial Calcs'!C55)</f>
        <v>3.2963179599999961</v>
      </c>
      <c r="E59" s="30">
        <f>IF(OR(C58=1,C58=""),"",IF('Imperial Data'!$B$2,'Imperial Calcs'!D55,'Imperial Calcs'!E55))</f>
        <v>0.7224001400000013</v>
      </c>
      <c r="F59" s="30">
        <f>IF(OR(C58=1,C58=""),"",IF('Imperial Data'!$B$2,'Imperial Calcs'!E55,'Imperial Calcs'!G55))</f>
        <v>329.63179599999961</v>
      </c>
      <c r="G59" s="30">
        <f>IF(OR(C58=1,C58=""),"",IF('Imperial Data'!$B$2,'Imperial Calcs'!F55,'Imperial Calcs'!J55))</f>
        <v>7.224001400000013</v>
      </c>
      <c r="H59" s="30">
        <f>IF(OR(C58=1,C58=""),"",IF('Imperial Data'!$B$2,'Imperial Calcs'!G55,'Imperial Calcs'!M55))</f>
        <v>78.591014373333451</v>
      </c>
      <c r="I59" s="30">
        <f>IF(C59="","",IF('Imperial Data'!$B$2,'Imperial Calcs'!J55,'Imperial Calcs'!Y55))</f>
        <v>415.44681177333308</v>
      </c>
      <c r="J59" s="30">
        <f>IF('Imperial Data'!$B$2,'Imperial Calcs'!M55,"")</f>
        <v>15815.521636513329</v>
      </c>
      <c r="K59" s="30">
        <f>IF('Imperial Data'!$B$2,'Imperial Calcs'!Y55,"")</f>
        <v>103.33333333333333</v>
      </c>
      <c r="L59" s="37">
        <f>IF('Imperial Data'!$B$2,J59,H59)</f>
        <v>15815.521636513329</v>
      </c>
      <c r="M59" s="112">
        <f>IF('Imperial Data'!$B$2,K59,I59)</f>
        <v>103.33333333333333</v>
      </c>
      <c r="O59" s="32">
        <f t="shared" si="4"/>
        <v>103.33333333333333</v>
      </c>
      <c r="Q59" s="112">
        <f t="shared" si="8"/>
        <v>3.3333333333333419</v>
      </c>
      <c r="R59" s="32">
        <f t="shared" si="9"/>
        <v>3.3333333333333419</v>
      </c>
      <c r="S59" s="32">
        <f t="shared" si="10"/>
        <v>4985.3617412802705</v>
      </c>
      <c r="U59" s="32">
        <f t="shared" si="5"/>
        <v>1</v>
      </c>
      <c r="W59" s="30" t="str" cm="1">
        <f t="array" ref="W59">IF($AO$21="INVERT",R59,IF(W58&gt;=$S$12,"",IF(R58="","",INDEX($R$18:$R$227,$U$17-ROWS($R$18:$R58)))))</f>
        <v/>
      </c>
      <c r="X59" s="30" t="str">
        <f t="shared" si="6"/>
        <v/>
      </c>
      <c r="Y59" s="30" t="str">
        <f>IF(Y58="","",IF($AO$21="TYP",IF(S58="","",INDEX($S$18:$S$227,$U$17-ROWS($S$18:$S58))),IF($AO$21="INVERT",S59,"")))</f>
        <v/>
      </c>
      <c r="Z59" s="75" t="str">
        <f t="shared" si="11"/>
        <v/>
      </c>
      <c r="AA59" s="67"/>
      <c r="AB59" s="88"/>
      <c r="AC59" s="88"/>
      <c r="AD59" s="88"/>
      <c r="AE59" s="88"/>
      <c r="AF59" s="88"/>
      <c r="AG59" s="88"/>
      <c r="AH59" s="88"/>
      <c r="AI59" s="88"/>
      <c r="AJ59" s="88"/>
    </row>
    <row r="60" spans="1:38" x14ac:dyDescent="0.2">
      <c r="A60" s="32">
        <f t="shared" si="1"/>
        <v>60</v>
      </c>
      <c r="C60" s="35">
        <f>IF(OR(C59=1,C59=""),"",'Imperial Calcs'!B56)</f>
        <v>39</v>
      </c>
      <c r="D60" s="30">
        <f>IF(C60="","",'Imperial Calcs'!C56)</f>
        <v>3.3456159200000002</v>
      </c>
      <c r="E60" s="30">
        <f>IF(OR(C59=1,C59=""),"",IF('Imperial Data'!$B$2,'Imperial Calcs'!D56,'Imperial Calcs'!E56))</f>
        <v>0.74372710999999825</v>
      </c>
      <c r="F60" s="30">
        <f>IF(OR(C59=1,C59=""),"",IF('Imperial Data'!$B$2,'Imperial Calcs'!E56,'Imperial Calcs'!G56))</f>
        <v>334.56159200000002</v>
      </c>
      <c r="G60" s="30">
        <f>IF(OR(C59=1,C59=""),"",IF('Imperial Data'!$B$2,'Imperial Calcs'!F56,'Imperial Calcs'!J56))</f>
        <v>7.4372710999999825</v>
      </c>
      <c r="H60" s="30">
        <f>IF(OR(C59=1,C59=""),"",IF('Imperial Data'!$B$2,'Imperial Calcs'!G56,'Imperial Calcs'!M56))</f>
        <v>76.533788093333314</v>
      </c>
      <c r="I60" s="30">
        <f>IF(C60="","",IF('Imperial Data'!$B$2,'Imperial Calcs'!J56,'Imperial Calcs'!Y56))</f>
        <v>418.53265119333332</v>
      </c>
      <c r="J60" s="30">
        <f>IF('Imperial Data'!$B$2,'Imperial Calcs'!M56,"")</f>
        <v>15400.074824739997</v>
      </c>
      <c r="K60" s="30">
        <f>IF('Imperial Data'!$B$2,'Imperial Calcs'!Y56,"")</f>
        <v>103.25</v>
      </c>
      <c r="L60" s="37">
        <f>IF('Imperial Data'!$B$2,J60,H60)</f>
        <v>15400.074824739997</v>
      </c>
      <c r="M60" s="112">
        <f>IF('Imperial Data'!$B$2,K60,I60)</f>
        <v>103.25</v>
      </c>
      <c r="O60" s="32">
        <f t="shared" si="4"/>
        <v>103.25</v>
      </c>
      <c r="Q60" s="112">
        <f t="shared" si="8"/>
        <v>3.2500000000000084</v>
      </c>
      <c r="R60" s="32">
        <f t="shared" si="9"/>
        <v>3.2500000000000084</v>
      </c>
      <c r="S60" s="32">
        <f t="shared" si="10"/>
        <v>5022.3918143202773</v>
      </c>
      <c r="U60" s="32">
        <f t="shared" si="5"/>
        <v>1</v>
      </c>
      <c r="W60" s="30" t="str" cm="1">
        <f t="array" ref="W60">IF($AO$21="INVERT",R60,IF(W59&gt;=$S$12,"",IF(R59="","",INDEX($R$18:$R$227,$U$17-ROWS($R$18:$R59)))))</f>
        <v/>
      </c>
      <c r="X60" s="30" t="str">
        <f t="shared" si="6"/>
        <v/>
      </c>
      <c r="Y60" s="30" t="str">
        <f>IF(Y59="","",IF($AO$21="TYP",IF(S59="","",INDEX($S$18:$S$227,$U$17-ROWS($S$18:$S59))),IF($AO$21="INVERT",S60,"")))</f>
        <v/>
      </c>
      <c r="Z60" s="75" t="str">
        <f t="shared" si="11"/>
        <v/>
      </c>
      <c r="AA60" s="67"/>
      <c r="AB60" s="88"/>
      <c r="AC60" s="88"/>
      <c r="AD60" s="88"/>
      <c r="AE60" s="88"/>
      <c r="AF60" s="88"/>
      <c r="AG60" s="88"/>
      <c r="AH60" s="88"/>
      <c r="AI60" s="88"/>
      <c r="AJ60" s="88"/>
    </row>
    <row r="61" spans="1:38" x14ac:dyDescent="0.2">
      <c r="A61" s="32">
        <f t="shared" si="1"/>
        <v>61</v>
      </c>
      <c r="C61" s="35">
        <f>IF(OR(C60=1,C60=""),"",'Imperial Calcs'!B57)</f>
        <v>38</v>
      </c>
      <c r="D61" s="30">
        <f>IF(C61="","",'Imperial Calcs'!C57)</f>
        <v>3.3931099800000055</v>
      </c>
      <c r="E61" s="30">
        <f>IF(OR(C60=1,C60=""),"",IF('Imperial Data'!$B$2,'Imperial Calcs'!D57,'Imperial Calcs'!E57))</f>
        <v>0.76446604999999934</v>
      </c>
      <c r="F61" s="30">
        <f>IF(OR(C60=1,C60=""),"",IF('Imperial Data'!$B$2,'Imperial Calcs'!E57,'Imperial Calcs'!G57))</f>
        <v>339.31099800000055</v>
      </c>
      <c r="G61" s="30">
        <f>IF(OR(C60=1,C60=""),"",IF('Imperial Data'!$B$2,'Imperial Calcs'!F57,'Imperial Calcs'!J57))</f>
        <v>7.6446604999999934</v>
      </c>
      <c r="H61" s="30">
        <f>IF(OR(C60=1,C60=""),"",IF('Imperial Data'!$B$2,'Imperial Calcs'!G57,'Imperial Calcs'!M57))</f>
        <v>74.551069933333096</v>
      </c>
      <c r="I61" s="30">
        <f>IF(C61="","",IF('Imperial Data'!$B$2,'Imperial Calcs'!J57,'Imperial Calcs'!Y57))</f>
        <v>421.50672843333365</v>
      </c>
      <c r="J61" s="30">
        <f>IF('Imperial Data'!$B$2,'Imperial Calcs'!M57,"")</f>
        <v>14981.542173546664</v>
      </c>
      <c r="K61" s="30">
        <f>IF('Imperial Data'!$B$2,'Imperial Calcs'!Y57,"")</f>
        <v>103.16666666666667</v>
      </c>
      <c r="L61" s="37">
        <f>IF('Imperial Data'!$B$2,J61,H61)</f>
        <v>14981.542173546664</v>
      </c>
      <c r="M61" s="112">
        <f>IF('Imperial Data'!$B$2,K61,I61)</f>
        <v>103.16666666666667</v>
      </c>
      <c r="O61" s="32">
        <f t="shared" si="4"/>
        <v>103.16666666666667</v>
      </c>
      <c r="Q61" s="112">
        <f t="shared" si="8"/>
        <v>3.166666666666675</v>
      </c>
      <c r="R61" s="32">
        <f t="shared" si="9"/>
        <v>3.166666666666675</v>
      </c>
      <c r="S61" s="32">
        <f t="shared" si="10"/>
        <v>5058.0807411994392</v>
      </c>
      <c r="U61" s="32">
        <f t="shared" si="5"/>
        <v>1</v>
      </c>
      <c r="W61" s="30" t="str" cm="1">
        <f t="array" ref="W61">IF($AO$21="INVERT",R61,IF(W60&gt;=$S$12,"",IF(R60="","",INDEX($R$18:$R$227,$U$17-ROWS($R$18:$R60)))))</f>
        <v/>
      </c>
      <c r="X61" s="30" t="str">
        <f t="shared" si="6"/>
        <v/>
      </c>
      <c r="Y61" s="30" t="str">
        <f>IF(Y60="","",IF($AO$21="TYP",IF(S60="","",INDEX($S$18:$S$227,$U$17-ROWS($S$18:$S60))),IF($AO$21="INVERT",S61,"")))</f>
        <v/>
      </c>
      <c r="Z61" s="75" t="str">
        <f t="shared" si="11"/>
        <v/>
      </c>
      <c r="AA61" s="67"/>
      <c r="AB61" s="88"/>
      <c r="AC61" s="88"/>
      <c r="AD61" s="88"/>
      <c r="AE61" s="88"/>
      <c r="AF61" s="88"/>
      <c r="AG61" s="88"/>
      <c r="AH61" s="88"/>
      <c r="AI61" s="88"/>
      <c r="AJ61" s="88"/>
    </row>
    <row r="62" spans="1:38" x14ac:dyDescent="0.2">
      <c r="A62" s="32">
        <f t="shared" si="1"/>
        <v>62</v>
      </c>
      <c r="C62" s="35">
        <f>IF(OR(C61=1,C61=""),"",'Imperial Calcs'!B58)</f>
        <v>37</v>
      </c>
      <c r="D62" s="30">
        <f>IF(C62="","",'Imperial Calcs'!C58)</f>
        <v>3.4388515200000001</v>
      </c>
      <c r="E62" s="30">
        <f>IF(OR(C61=1,C61=""),"",IF('Imperial Data'!$B$2,'Imperial Calcs'!D58,'Imperial Calcs'!E58))</f>
        <v>0.7855190400000005</v>
      </c>
      <c r="F62" s="30">
        <f>IF(OR(C61=1,C61=""),"",IF('Imperial Data'!$B$2,'Imperial Calcs'!E58,'Imperial Calcs'!G58))</f>
        <v>343.88515200000001</v>
      </c>
      <c r="G62" s="30">
        <f>IF(OR(C61=1,C61=""),"",IF('Imperial Data'!$B$2,'Imperial Calcs'!F58,'Imperial Calcs'!J58))</f>
        <v>7.855190400000005</v>
      </c>
      <c r="H62" s="30">
        <f>IF(OR(C61=1,C61=""),"",IF('Imperial Data'!$B$2,'Imperial Calcs'!G58,'Imperial Calcs'!M58))</f>
        <v>72.637196373333296</v>
      </c>
      <c r="I62" s="30">
        <f>IF(C62="","",IF('Imperial Data'!$B$2,'Imperial Calcs'!J58,'Imperial Calcs'!Y58))</f>
        <v>424.3775387733333</v>
      </c>
      <c r="J62" s="30">
        <f>IF('Imperial Data'!$B$2,'Imperial Calcs'!M58,"")</f>
        <v>14560.03544511333</v>
      </c>
      <c r="K62" s="30">
        <f>IF('Imperial Data'!$B$2,'Imperial Calcs'!Y58,"")</f>
        <v>103.08333333333333</v>
      </c>
      <c r="L62" s="37">
        <f>IF('Imperial Data'!$B$2,J62,H62)</f>
        <v>14560.03544511333</v>
      </c>
      <c r="M62" s="112">
        <f>IF('Imperial Data'!$B$2,K62,I62)</f>
        <v>103.08333333333333</v>
      </c>
      <c r="O62" s="32">
        <f t="shared" si="4"/>
        <v>103.08333333333333</v>
      </c>
      <c r="Q62" s="112">
        <f t="shared" si="8"/>
        <v>3.0833333333333415</v>
      </c>
      <c r="R62" s="32">
        <f t="shared" si="9"/>
        <v>3.0833333333333415</v>
      </c>
      <c r="S62" s="32">
        <f t="shared" si="10"/>
        <v>5092.5304652802861</v>
      </c>
      <c r="U62" s="32">
        <f t="shared" si="5"/>
        <v>1</v>
      </c>
      <c r="W62" s="30" t="str" cm="1">
        <f t="array" ref="W62">IF($AO$21="INVERT",R62,IF(W61&gt;=$S$12,"",IF(R61="","",INDEX($R$18:$R$227,$U$17-ROWS($R$18:$R61)))))</f>
        <v/>
      </c>
      <c r="X62" s="30" t="str">
        <f t="shared" si="6"/>
        <v/>
      </c>
      <c r="Y62" s="30" t="str">
        <f>IF(Y61="","",IF($AO$21="TYP",IF(S61="","",INDEX($S$18:$S$227,$U$17-ROWS($S$18:$S61))),IF($AO$21="INVERT",S62,"")))</f>
        <v/>
      </c>
      <c r="Z62" s="75" t="str">
        <f t="shared" si="11"/>
        <v/>
      </c>
      <c r="AA62" s="67"/>
      <c r="AB62" s="88"/>
      <c r="AC62" s="88"/>
      <c r="AD62" s="88"/>
      <c r="AE62" s="88"/>
      <c r="AF62" s="88"/>
      <c r="AG62" s="88"/>
      <c r="AH62" s="88"/>
      <c r="AI62" s="88"/>
      <c r="AJ62" s="88"/>
    </row>
    <row r="63" spans="1:38" x14ac:dyDescent="0.2">
      <c r="A63" s="32">
        <f t="shared" si="1"/>
        <v>63</v>
      </c>
      <c r="C63" s="35">
        <f>IF(OR(C62=1,C62=""),"",'Imperial Calcs'!B59)</f>
        <v>36</v>
      </c>
      <c r="D63" s="30">
        <f>IF(C63="","",'Imperial Calcs'!C59)</f>
        <v>3.4828802799999892</v>
      </c>
      <c r="E63" s="30">
        <f>IF(OR(C62=1,C62=""),"",IF('Imperial Data'!$B$2,'Imperial Calcs'!D59,'Imperial Calcs'!E59))</f>
        <v>0.80270133000000143</v>
      </c>
      <c r="F63" s="30">
        <f>IF(OR(C62=1,C62=""),"",IF('Imperial Data'!$B$2,'Imperial Calcs'!E59,'Imperial Calcs'!G59))</f>
        <v>348.28802799999892</v>
      </c>
      <c r="G63" s="30">
        <f>IF(OR(C62=1,C62=""),"",IF('Imperial Data'!$B$2,'Imperial Calcs'!F59,'Imperial Calcs'!J59))</f>
        <v>8.0270133000000143</v>
      </c>
      <c r="H63" s="30">
        <f>IF(OR(C62=1,C62=""),"",IF('Imperial Data'!$B$2,'Imperial Calcs'!G59,'Imperial Calcs'!M59))</f>
        <v>70.807316813333728</v>
      </c>
      <c r="I63" s="30">
        <f>IF(C63="","",IF('Imperial Data'!$B$2,'Imperial Calcs'!J59,'Imperial Calcs'!Y59))</f>
        <v>427.12235811333267</v>
      </c>
      <c r="J63" s="30">
        <f>IF('Imperial Data'!$B$2,'Imperial Calcs'!M59,"")</f>
        <v>14135.657906339997</v>
      </c>
      <c r="K63" s="30">
        <f>IF('Imperial Data'!$B$2,'Imperial Calcs'!Y59,"")</f>
        <v>103</v>
      </c>
      <c r="L63" s="37">
        <f>IF('Imperial Data'!$B$2,J63,H63)</f>
        <v>14135.657906339997</v>
      </c>
      <c r="M63" s="112">
        <f>IF('Imperial Data'!$B$2,K63,I63)</f>
        <v>103</v>
      </c>
      <c r="O63" s="32">
        <f t="shared" si="4"/>
        <v>103</v>
      </c>
      <c r="Q63" s="112">
        <f t="shared" si="8"/>
        <v>3.000000000000008</v>
      </c>
      <c r="R63" s="32">
        <f t="shared" si="9"/>
        <v>3.000000000000008</v>
      </c>
      <c r="S63" s="32">
        <f t="shared" si="10"/>
        <v>5125.468297360283</v>
      </c>
      <c r="U63" s="32">
        <f t="shared" si="5"/>
        <v>1</v>
      </c>
      <c r="W63" s="30" t="str" cm="1">
        <f t="array" ref="W63">IF($AO$21="INVERT",R63,IF(W62&gt;=$S$12,"",IF(R62="","",INDEX($R$18:$R$227,$U$17-ROWS($R$18:$R62)))))</f>
        <v/>
      </c>
      <c r="X63" s="30" t="str">
        <f t="shared" si="6"/>
        <v/>
      </c>
      <c r="Y63" s="30" t="str">
        <f>IF(Y62="","",IF($AO$21="TYP",IF(S62="","",INDEX($S$18:$S$227,$U$17-ROWS($S$18:$S62))),IF($AO$21="INVERT",S63,"")))</f>
        <v/>
      </c>
      <c r="Z63" s="75" t="str">
        <f t="shared" si="11"/>
        <v/>
      </c>
      <c r="AA63" s="67"/>
      <c r="AB63" s="88"/>
      <c r="AC63" s="88"/>
      <c r="AD63" s="88"/>
      <c r="AE63" s="88"/>
      <c r="AF63" s="88"/>
      <c r="AG63" s="88"/>
      <c r="AH63" s="88"/>
      <c r="AI63" s="88"/>
      <c r="AJ63" s="88"/>
    </row>
    <row r="64" spans="1:38" x14ac:dyDescent="0.2">
      <c r="A64" s="32">
        <f t="shared" si="1"/>
        <v>64</v>
      </c>
      <c r="C64" s="35">
        <f>IF(OR(C63=1,C63=""),"",'Imperial Calcs'!B60)</f>
        <v>35</v>
      </c>
      <c r="D64" s="30">
        <f>IF(C64="","",'Imperial Calcs'!C60)</f>
        <v>3.5253571800000003</v>
      </c>
      <c r="E64" s="30">
        <f>IF(OR(C63=1,C63=""),"",IF('Imperial Data'!$B$2,'Imperial Calcs'!D60,'Imperial Calcs'!E60))</f>
        <v>0.81994934999999813</v>
      </c>
      <c r="F64" s="30">
        <f>IF(OR(C63=1,C63=""),"",IF('Imperial Data'!$B$2,'Imperial Calcs'!E60,'Imperial Calcs'!G60))</f>
        <v>352.53571800000003</v>
      </c>
      <c r="G64" s="30">
        <f>IF(OR(C63=1,C63=""),"",IF('Imperial Data'!$B$2,'Imperial Calcs'!F60,'Imperial Calcs'!J60))</f>
        <v>8.1994934999999813</v>
      </c>
      <c r="H64" s="30">
        <f>IF(OR(C63=1,C63=""),"",IF('Imperial Data'!$B$2,'Imperial Calcs'!G60,'Imperial Calcs'!M60))</f>
        <v>69.039248733333309</v>
      </c>
      <c r="I64" s="30">
        <f>IF(C64="","",IF('Imperial Data'!$B$2,'Imperial Calcs'!J60,'Imperial Calcs'!Y60))</f>
        <v>429.77446023333334</v>
      </c>
      <c r="J64" s="30">
        <f>IF('Imperial Data'!$B$2,'Imperial Calcs'!M60,"")</f>
        <v>13708.535548226664</v>
      </c>
      <c r="K64" s="30">
        <f>IF('Imperial Data'!$B$2,'Imperial Calcs'!Y60,"")</f>
        <v>102.91666666666667</v>
      </c>
      <c r="L64" s="37">
        <f>IF('Imperial Data'!$B$2,J64,H64)</f>
        <v>13708.535548226664</v>
      </c>
      <c r="M64" s="112">
        <f>IF('Imperial Data'!$B$2,K64,I64)</f>
        <v>102.91666666666667</v>
      </c>
      <c r="O64" s="32">
        <f t="shared" si="4"/>
        <v>102.91666666666667</v>
      </c>
      <c r="Q64" s="112">
        <f t="shared" si="8"/>
        <v>2.9166666666666745</v>
      </c>
      <c r="R64" s="32">
        <f t="shared" si="9"/>
        <v>2.9166666666666745</v>
      </c>
      <c r="S64" s="32">
        <f t="shared" si="10"/>
        <v>5157.2935227994121</v>
      </c>
      <c r="U64" s="32">
        <f t="shared" si="5"/>
        <v>1</v>
      </c>
      <c r="W64" s="30" t="str" cm="1">
        <f t="array" ref="W64">IF($AO$21="INVERT",R64,IF(W63&gt;=$S$12,"",IF(R63="","",INDEX($R$18:$R$227,$U$17-ROWS($R$18:$R63)))))</f>
        <v/>
      </c>
      <c r="X64" s="30" t="str">
        <f t="shared" si="6"/>
        <v/>
      </c>
      <c r="Y64" s="30" t="str">
        <f>IF(Y63="","",IF($AO$21="TYP",IF(S63="","",INDEX($S$18:$S$227,$U$17-ROWS($S$18:$S63))),IF($AO$21="INVERT",S64,"")))</f>
        <v/>
      </c>
      <c r="Z64" s="75" t="str">
        <f t="shared" si="11"/>
        <v/>
      </c>
      <c r="AA64" s="67"/>
      <c r="AB64" s="88"/>
      <c r="AC64" s="88"/>
      <c r="AD64" s="88"/>
      <c r="AE64" s="88"/>
      <c r="AF64" s="88"/>
      <c r="AG64" s="88"/>
      <c r="AH64" s="88"/>
      <c r="AI64" s="88"/>
      <c r="AJ64" s="88"/>
    </row>
    <row r="65" spans="1:26" x14ac:dyDescent="0.2">
      <c r="A65" s="32">
        <f t="shared" si="1"/>
        <v>65</v>
      </c>
      <c r="C65" s="35">
        <f>IF(OR(C64=1,C64=""),"",'Imperial Calcs'!B61)</f>
        <v>34</v>
      </c>
      <c r="D65" s="30">
        <f>IF(C65="","",'Imperial Calcs'!C61)</f>
        <v>3.5661732399999977</v>
      </c>
      <c r="E65" s="30">
        <f>IF(OR(C64=1,C64=""),"",IF('Imperial Data'!$B$2,'Imperial Calcs'!D61,'Imperial Calcs'!E61))</f>
        <v>0.83850926999999942</v>
      </c>
      <c r="F65" s="30">
        <f>IF(OR(C64=1,C64=""),"",IF('Imperial Data'!$B$2,'Imperial Calcs'!E61,'Imperial Calcs'!G61))</f>
        <v>356.61732399999977</v>
      </c>
      <c r="G65" s="30">
        <f>IF(OR(C64=1,C64=""),"",IF('Imperial Data'!$B$2,'Imperial Calcs'!F61,'Imperial Calcs'!J61))</f>
        <v>8.3850926999999942</v>
      </c>
      <c r="H65" s="30">
        <f>IF(OR(C64=1,C64=""),"",IF('Imperial Data'!$B$2,'Imperial Calcs'!G61,'Imperial Calcs'!M61))</f>
        <v>67.332366653333409</v>
      </c>
      <c r="I65" s="30">
        <f>IF(C65="","",IF('Imperial Data'!$B$2,'Imperial Calcs'!J61,'Imperial Calcs'!Y61))</f>
        <v>432.33478335333314</v>
      </c>
      <c r="J65" s="30">
        <f>IF('Imperial Data'!$B$2,'Imperial Calcs'!M61,"")</f>
        <v>13278.761087993331</v>
      </c>
      <c r="K65" s="30">
        <f>IF('Imperial Data'!$B$2,'Imperial Calcs'!Y61,"")</f>
        <v>102.83333333333333</v>
      </c>
      <c r="L65" s="37">
        <f>IF('Imperial Data'!$B$2,J65,H65)</f>
        <v>13278.761087993331</v>
      </c>
      <c r="M65" s="112">
        <f>IF('Imperial Data'!$B$2,K65,I65)</f>
        <v>102.83333333333333</v>
      </c>
      <c r="O65" s="32">
        <f t="shared" si="4"/>
        <v>102.83333333333333</v>
      </c>
      <c r="Q65" s="112">
        <f t="shared" si="8"/>
        <v>2.833333333333341</v>
      </c>
      <c r="R65" s="32">
        <f t="shared" si="9"/>
        <v>2.833333333333341</v>
      </c>
      <c r="S65" s="32">
        <f t="shared" si="10"/>
        <v>5188.0174002402964</v>
      </c>
      <c r="U65" s="32">
        <f t="shared" si="5"/>
        <v>1</v>
      </c>
      <c r="W65" s="30" t="str" cm="1">
        <f t="array" ref="W65">IF($AO$21="INVERT",R65,IF(W64&gt;=$S$12,"",IF(R64="","",INDEX($R$18:$R$227,$U$17-ROWS($R$18:$R64)))))</f>
        <v/>
      </c>
      <c r="X65" s="30" t="str">
        <f t="shared" si="6"/>
        <v/>
      </c>
      <c r="Y65" s="30" t="str">
        <f>IF(Y64="","",IF($AO$21="TYP",IF(S64="","",INDEX($S$18:$S$227,$U$17-ROWS($S$18:$S64))),IF($AO$21="INVERT",S65,"")))</f>
        <v/>
      </c>
      <c r="Z65" s="75" t="str">
        <f t="shared" si="11"/>
        <v/>
      </c>
    </row>
    <row r="66" spans="1:26" x14ac:dyDescent="0.2">
      <c r="A66" s="32">
        <f t="shared" si="1"/>
        <v>66</v>
      </c>
      <c r="C66" s="35">
        <f>IF(OR(C65=1,C65=""),"",'Imperial Calcs'!B62)</f>
        <v>33</v>
      </c>
      <c r="D66" s="30">
        <f>IF(C66="","",'Imperial Calcs'!C62)</f>
        <v>3.6055836100000107</v>
      </c>
      <c r="E66" s="30">
        <f>IF(OR(C65=1,C65=""),"",IF('Imperial Data'!$B$2,'Imperial Calcs'!D62,'Imperial Calcs'!E62))</f>
        <v>0.8512516699999999</v>
      </c>
      <c r="F66" s="30">
        <f>IF(OR(C65=1,C65=""),"",IF('Imperial Data'!$B$2,'Imperial Calcs'!E62,'Imperial Calcs'!G62))</f>
        <v>360.55836100000107</v>
      </c>
      <c r="G66" s="30">
        <f>IF(OR(C65=1,C65=""),"",IF('Imperial Data'!$B$2,'Imperial Calcs'!F62,'Imperial Calcs'!J62))</f>
        <v>8.512516699999999</v>
      </c>
      <c r="H66" s="30">
        <f>IF(OR(C65=1,C65=""),"",IF('Imperial Data'!$B$2,'Imperial Calcs'!G62,'Imperial Calcs'!M62))</f>
        <v>65.704982253332886</v>
      </c>
      <c r="I66" s="30">
        <f>IF(C66="","",IF('Imperial Data'!$B$2,'Imperial Calcs'!J62,'Imperial Calcs'!Y62))</f>
        <v>434.77585995333396</v>
      </c>
      <c r="J66" s="30">
        <f>IF('Imperial Data'!$B$2,'Imperial Calcs'!M62,"")</f>
        <v>12846.426304639997</v>
      </c>
      <c r="K66" s="30">
        <f>IF('Imperial Data'!$B$2,'Imperial Calcs'!Y62,"")</f>
        <v>102.75</v>
      </c>
      <c r="L66" s="37">
        <f>IF('Imperial Data'!$B$2,J66,H66)</f>
        <v>12846.426304639997</v>
      </c>
      <c r="M66" s="112">
        <f>IF('Imperial Data'!$B$2,K66,I66)</f>
        <v>102.75</v>
      </c>
      <c r="O66" s="32">
        <f t="shared" si="4"/>
        <v>102.75</v>
      </c>
      <c r="Q66" s="112">
        <f t="shared" si="8"/>
        <v>2.7500000000000075</v>
      </c>
      <c r="R66" s="32">
        <f t="shared" si="9"/>
        <v>2.7500000000000075</v>
      </c>
      <c r="S66" s="32">
        <f t="shared" si="10"/>
        <v>5217.3103194402993</v>
      </c>
      <c r="U66" s="32">
        <f t="shared" si="5"/>
        <v>1</v>
      </c>
      <c r="W66" s="30" t="str" cm="1">
        <f t="array" ref="W66">IF($AO$21="INVERT",R66,IF(W65&gt;=$S$12,"",IF(R65="","",INDEX($R$18:$R$227,$U$17-ROWS($R$18:$R65)))))</f>
        <v/>
      </c>
      <c r="X66" s="30" t="str">
        <f t="shared" si="6"/>
        <v/>
      </c>
      <c r="Y66" s="30" t="str">
        <f>IF(Y65="","",IF($AO$21="TYP",IF(S65="","",INDEX($S$18:$S$227,$U$17-ROWS($S$18:$S65))),IF($AO$21="INVERT",S66,"")))</f>
        <v/>
      </c>
      <c r="Z66" s="75" t="str">
        <f t="shared" si="11"/>
        <v/>
      </c>
    </row>
    <row r="67" spans="1:26" x14ac:dyDescent="0.2">
      <c r="A67" s="32">
        <f t="shared" si="1"/>
        <v>67</v>
      </c>
      <c r="C67" s="35">
        <f>IF(OR(C66=1,C66=""),"",'Imperial Calcs'!B63)</f>
        <v>32</v>
      </c>
      <c r="D67" s="30">
        <f>IF(C67="","",'Imperial Calcs'!C63)</f>
        <v>3.6434781099999896</v>
      </c>
      <c r="E67" s="30">
        <f>IF(OR(C66=1,C66=""),"",IF('Imperial Data'!$B$2,'Imperial Calcs'!D63,'Imperial Calcs'!E63))</f>
        <v>0.85951773000000031</v>
      </c>
      <c r="F67" s="30">
        <f>IF(OR(C66=1,C66=""),"",IF('Imperial Data'!$B$2,'Imperial Calcs'!E63,'Imperial Calcs'!G63))</f>
        <v>364.34781099999896</v>
      </c>
      <c r="G67" s="30">
        <f>IF(OR(C66=1,C66=""),"",IF('Imperial Data'!$B$2,'Imperial Calcs'!F63,'Imperial Calcs'!J63))</f>
        <v>8.5951773000000031</v>
      </c>
      <c r="H67" s="30">
        <f>IF(OR(C66=1,C66=""),"",IF('Imperial Data'!$B$2,'Imperial Calcs'!G63,'Imperial Calcs'!M63))</f>
        <v>64.156138013333731</v>
      </c>
      <c r="I67" s="30">
        <f>IF(C67="","",IF('Imperial Data'!$B$2,'Imperial Calcs'!J63,'Imperial Calcs'!Y63))</f>
        <v>437.0991263133327</v>
      </c>
      <c r="J67" s="30">
        <f>IF('Imperial Data'!$B$2,'Imperial Calcs'!M63,"")</f>
        <v>12411.650444686664</v>
      </c>
      <c r="K67" s="30">
        <f>IF('Imperial Data'!$B$2,'Imperial Calcs'!Y63,"")</f>
        <v>102.66666666666667</v>
      </c>
      <c r="L67" s="37">
        <f>IF('Imperial Data'!$B$2,J67,H67)</f>
        <v>12411.650444686664</v>
      </c>
      <c r="M67" s="112">
        <f>IF('Imperial Data'!$B$2,K67,I67)</f>
        <v>102.66666666666667</v>
      </c>
      <c r="O67" s="32">
        <f t="shared" si="4"/>
        <v>102.66666666666667</v>
      </c>
      <c r="Q67" s="112">
        <f t="shared" si="8"/>
        <v>2.6666666666666741</v>
      </c>
      <c r="R67" s="32">
        <f t="shared" si="9"/>
        <v>2.6666666666666741</v>
      </c>
      <c r="S67" s="32">
        <f t="shared" si="10"/>
        <v>5245.1895157593972</v>
      </c>
      <c r="U67" s="32">
        <f t="shared" si="5"/>
        <v>1</v>
      </c>
      <c r="W67" s="30" t="str" cm="1">
        <f t="array" ref="W67">IF($AO$21="INVERT",R67,IF(W66&gt;=$S$12,"",IF(R66="","",INDEX($R$18:$R$227,$U$17-ROWS($R$18:$R66)))))</f>
        <v/>
      </c>
      <c r="X67" s="30" t="str">
        <f t="shared" si="6"/>
        <v/>
      </c>
      <c r="Y67" s="30" t="str">
        <f>IF(Y66="","",IF($AO$21="TYP",IF(S66="","",INDEX($S$18:$S$227,$U$17-ROWS($S$18:$S66))),IF($AO$21="INVERT",S67,"")))</f>
        <v/>
      </c>
      <c r="Z67" s="75" t="str">
        <f t="shared" si="11"/>
        <v/>
      </c>
    </row>
    <row r="68" spans="1:26" x14ac:dyDescent="0.2">
      <c r="A68" s="32">
        <f t="shared" si="1"/>
        <v>68</v>
      </c>
      <c r="C68" s="35">
        <f>IF(OR(C67=1,C67=""),"",'Imperial Calcs'!B64)</f>
        <v>31</v>
      </c>
      <c r="D68" s="30">
        <f>IF(C68="","",'Imperial Calcs'!C64)</f>
        <v>3.679943200000011</v>
      </c>
      <c r="E68" s="30">
        <f>IF(OR(C67=1,C67=""),"",IF('Imperial Data'!$B$2,'Imperial Calcs'!D64,'Imperial Calcs'!E64))</f>
        <v>0.8894542300000019</v>
      </c>
      <c r="F68" s="30">
        <f>IF(OR(C67=1,C67=""),"",IF('Imperial Data'!$B$2,'Imperial Calcs'!E64,'Imperial Calcs'!G64))</f>
        <v>367.9943200000011</v>
      </c>
      <c r="G68" s="30">
        <f>IF(OR(C67=1,C67=""),"",IF('Imperial Data'!$B$2,'Imperial Calcs'!F64,'Imperial Calcs'!J64))</f>
        <v>8.894542300000019</v>
      </c>
      <c r="H68" s="30">
        <f>IF(OR(C67=1,C67=""),"",IF('Imperial Data'!$B$2,'Imperial Calcs'!G64,'Imperial Calcs'!M64))</f>
        <v>62.577788413332861</v>
      </c>
      <c r="I68" s="30">
        <f>IF(C68="","",IF('Imperial Data'!$B$2,'Imperial Calcs'!J64,'Imperial Calcs'!Y64))</f>
        <v>439.46665071333399</v>
      </c>
      <c r="J68" s="30">
        <f>IF('Imperial Data'!$B$2,'Imperial Calcs'!M64,"")</f>
        <v>11974.551318373331</v>
      </c>
      <c r="K68" s="30">
        <f>IF('Imperial Data'!$B$2,'Imperial Calcs'!Y64,"")</f>
        <v>102.58333333333333</v>
      </c>
      <c r="L68" s="37">
        <f>IF('Imperial Data'!$B$2,J68,H68)</f>
        <v>11974.551318373331</v>
      </c>
      <c r="M68" s="112">
        <f>IF('Imperial Data'!$B$2,K68,I68)</f>
        <v>102.58333333333333</v>
      </c>
      <c r="O68" s="32">
        <f t="shared" si="4"/>
        <v>102.58333333333333</v>
      </c>
      <c r="Q68" s="112">
        <f t="shared" si="8"/>
        <v>2.5833333333333406</v>
      </c>
      <c r="R68" s="32">
        <f t="shared" si="9"/>
        <v>2.5833333333333406</v>
      </c>
      <c r="S68" s="32">
        <f t="shared" si="10"/>
        <v>5273.5998085603005</v>
      </c>
      <c r="U68" s="32">
        <f t="shared" si="5"/>
        <v>1</v>
      </c>
      <c r="W68" s="30" t="str" cm="1">
        <f t="array" ref="W68">IF($AO$21="INVERT",R68,IF(W67&gt;=$S$12,"",IF(R67="","",INDEX($R$18:$R$227,$U$17-ROWS($R$18:$R67)))))</f>
        <v/>
      </c>
      <c r="X68" s="30" t="str">
        <f t="shared" si="6"/>
        <v/>
      </c>
      <c r="Y68" s="30" t="str">
        <f>IF(Y67="","",IF($AO$21="TYP",IF(S67="","",INDEX($S$18:$S$227,$U$17-ROWS($S$18:$S67))),IF($AO$21="INVERT",S68,"")))</f>
        <v/>
      </c>
      <c r="Z68" s="75" t="str">
        <f t="shared" si="11"/>
        <v/>
      </c>
    </row>
    <row r="69" spans="1:26" x14ac:dyDescent="0.2">
      <c r="A69" s="32">
        <f t="shared" si="1"/>
        <v>69</v>
      </c>
      <c r="C69" s="35">
        <f>IF(OR(C68=1,C68=""),"",'Imperial Calcs'!B65)</f>
        <v>30</v>
      </c>
      <c r="D69" s="30">
        <f>IF(C69="","",'Imperial Calcs'!C65)</f>
        <v>3.7149965899999984</v>
      </c>
      <c r="E69" s="30">
        <f>IF(OR(C68=1,C68=""),"",IF('Imperial Data'!$B$2,'Imperial Calcs'!D65,'Imperial Calcs'!E65))</f>
        <v>0.90424125999999916</v>
      </c>
      <c r="F69" s="30">
        <f>IF(OR(C68=1,C68=""),"",IF('Imperial Data'!$B$2,'Imperial Calcs'!E65,'Imperial Calcs'!G65))</f>
        <v>371.49965899999984</v>
      </c>
      <c r="G69" s="30">
        <f>IF(OR(C68=1,C68=""),"",IF('Imperial Data'!$B$2,'Imperial Calcs'!F65,'Imperial Calcs'!J65))</f>
        <v>9.0424125999999916</v>
      </c>
      <c r="H69" s="30">
        <f>IF(OR(C68=1,C68=""),"",IF('Imperial Data'!$B$2,'Imperial Calcs'!G65,'Imperial Calcs'!M65))</f>
        <v>61.116504693333383</v>
      </c>
      <c r="I69" s="30">
        <f>IF(C69="","",IF('Imperial Data'!$B$2,'Imperial Calcs'!J65,'Imperial Calcs'!Y65))</f>
        <v>441.65857629333323</v>
      </c>
      <c r="J69" s="30">
        <f>IF('Imperial Data'!$B$2,'Imperial Calcs'!M65,"")</f>
        <v>11535.084667659998</v>
      </c>
      <c r="K69" s="30">
        <f>IF('Imperial Data'!$B$2,'Imperial Calcs'!Y65,"")</f>
        <v>102.5</v>
      </c>
      <c r="L69" s="37">
        <f>IF('Imperial Data'!$B$2,J69,H69)</f>
        <v>11535.084667659998</v>
      </c>
      <c r="M69" s="112">
        <f>IF('Imperial Data'!$B$2,K69,I69)</f>
        <v>102.5</v>
      </c>
      <c r="O69" s="32">
        <f t="shared" si="4"/>
        <v>102.5</v>
      </c>
      <c r="Q69" s="112">
        <f t="shared" si="8"/>
        <v>2.5000000000000071</v>
      </c>
      <c r="R69" s="32">
        <f t="shared" si="9"/>
        <v>2.5000000000000071</v>
      </c>
      <c r="S69" s="32">
        <f t="shared" si="10"/>
        <v>5299.9029155203052</v>
      </c>
      <c r="U69" s="32">
        <f t="shared" si="5"/>
        <v>1</v>
      </c>
      <c r="W69" s="30" t="str" cm="1">
        <f t="array" ref="W69">IF($AO$21="INVERT",R69,IF(W68&gt;=$S$12,"",IF(R68="","",INDEX($R$18:$R$227,$U$17-ROWS($R$18:$R68)))))</f>
        <v/>
      </c>
      <c r="X69" s="30" t="str">
        <f t="shared" si="6"/>
        <v/>
      </c>
      <c r="Y69" s="30" t="str">
        <f>IF(Y68="","",IF($AO$21="TYP",IF(S68="","",INDEX($S$18:$S$227,$U$17-ROWS($S$18:$S68))),IF($AO$21="INVERT",S69,"")))</f>
        <v/>
      </c>
      <c r="Z69" s="75" t="str">
        <f t="shared" si="11"/>
        <v/>
      </c>
    </row>
    <row r="70" spans="1:26" x14ac:dyDescent="0.2">
      <c r="A70" s="32">
        <f t="shared" si="1"/>
        <v>70</v>
      </c>
      <c r="C70" s="35">
        <f>IF(OR(C69=1,C69=""),"",'Imperial Calcs'!B66)</f>
        <v>29</v>
      </c>
      <c r="D70" s="30">
        <f>IF(C70="","",'Imperial Calcs'!C66)</f>
        <v>3.7486903599999977</v>
      </c>
      <c r="E70" s="30">
        <f>IF(OR(C69=1,C69=""),"",IF('Imperial Data'!$B$2,'Imperial Calcs'!D66,'Imperial Calcs'!E66))</f>
        <v>0.91725006000000064</v>
      </c>
      <c r="F70" s="30">
        <f>IF(OR(C69=1,C69=""),"",IF('Imperial Data'!$B$2,'Imperial Calcs'!E66,'Imperial Calcs'!G66))</f>
        <v>374.86903599999977</v>
      </c>
      <c r="G70" s="30">
        <f>IF(OR(C69=1,C69=""),"",IF('Imperial Data'!$B$2,'Imperial Calcs'!F66,'Imperial Calcs'!J66))</f>
        <v>9.1725006000000064</v>
      </c>
      <c r="H70" s="30">
        <f>IF(OR(C69=1,C69=""),"",IF('Imperial Data'!$B$2,'Imperial Calcs'!G66,'Imperial Calcs'!M66))</f>
        <v>59.716718693333405</v>
      </c>
      <c r="I70" s="30">
        <f>IF(C70="","",IF('Imperial Data'!$B$2,'Imperial Calcs'!J66,'Imperial Calcs'!Y66))</f>
        <v>443.75825529333315</v>
      </c>
      <c r="J70" s="30">
        <f>IF('Imperial Data'!$B$2,'Imperial Calcs'!M66,"")</f>
        <v>11093.426091366664</v>
      </c>
      <c r="K70" s="30">
        <f>IF('Imperial Data'!$B$2,'Imperial Calcs'!Y66,"")</f>
        <v>102.41666666666667</v>
      </c>
      <c r="L70" s="37">
        <f>IF('Imperial Data'!$B$2,J70,H70)</f>
        <v>11093.426091366664</v>
      </c>
      <c r="M70" s="112">
        <f>IF('Imperial Data'!$B$2,K70,I70)</f>
        <v>102.41666666666667</v>
      </c>
      <c r="O70" s="32">
        <f t="shared" si="4"/>
        <v>102.41666666666667</v>
      </c>
      <c r="Q70" s="112">
        <f t="shared" si="8"/>
        <v>2.4166666666666736</v>
      </c>
      <c r="R70" s="32">
        <f t="shared" si="9"/>
        <v>2.4166666666666736</v>
      </c>
      <c r="S70" s="32">
        <f t="shared" si="10"/>
        <v>5325.0990635193866</v>
      </c>
      <c r="U70" s="32">
        <f t="shared" si="5"/>
        <v>1</v>
      </c>
      <c r="W70" s="30" t="str" cm="1">
        <f t="array" ref="W70">IF($AO$21="INVERT",R70,IF(W69&gt;=$S$12,"",IF(R69="","",INDEX($R$18:$R$227,$U$17-ROWS($R$18:$R69)))))</f>
        <v/>
      </c>
      <c r="X70" s="30" t="str">
        <f t="shared" si="6"/>
        <v/>
      </c>
      <c r="Y70" s="30" t="str">
        <f>IF(Y69="","",IF($AO$21="TYP",IF(S69="","",INDEX($S$18:$S$227,$U$17-ROWS($S$18:$S69))),IF($AO$21="INVERT",S70,"")))</f>
        <v/>
      </c>
      <c r="Z70" s="75" t="str">
        <f t="shared" si="11"/>
        <v/>
      </c>
    </row>
    <row r="71" spans="1:26" x14ac:dyDescent="0.2">
      <c r="A71" s="32">
        <f t="shared" si="1"/>
        <v>71</v>
      </c>
      <c r="C71" s="35">
        <f>IF(OR(C70=1,C70=""),"",'Imperial Calcs'!B67)</f>
        <v>28</v>
      </c>
      <c r="D71" s="30">
        <f>IF(C71="","",'Imperial Calcs'!C67)</f>
        <v>3.7809984700000001</v>
      </c>
      <c r="E71" s="30">
        <f>IF(OR(C70=1,C70=""),"",IF('Imperial Data'!$B$2,'Imperial Calcs'!D67,'Imperial Calcs'!E67))</f>
        <v>0.91981162000000083</v>
      </c>
      <c r="F71" s="30">
        <f>IF(OR(C70=1,C70=""),"",IF('Imperial Data'!$B$2,'Imperial Calcs'!E67,'Imperial Calcs'!G67))</f>
        <v>378.09984700000001</v>
      </c>
      <c r="G71" s="30">
        <f>IF(OR(C70=1,C70=""),"",IF('Imperial Data'!$B$2,'Imperial Calcs'!F67,'Imperial Calcs'!J67))</f>
        <v>9.1981162000000083</v>
      </c>
      <c r="H71" s="30">
        <f>IF(OR(C70=1,C70=""),"",IF('Imperial Data'!$B$2,'Imperial Calcs'!G67,'Imperial Calcs'!M67))</f>
        <v>58.414148053333292</v>
      </c>
      <c r="I71" s="30">
        <f>IF(C71="","",IF('Imperial Data'!$B$2,'Imperial Calcs'!J67,'Imperial Calcs'!Y67))</f>
        <v>445.71211125333332</v>
      </c>
      <c r="J71" s="30">
        <f>IF('Imperial Data'!$B$2,'Imperial Calcs'!M67,"")</f>
        <v>10649.667836073331</v>
      </c>
      <c r="K71" s="30">
        <f>IF('Imperial Data'!$B$2,'Imperial Calcs'!Y67,"")</f>
        <v>102.33333333333333</v>
      </c>
      <c r="L71" s="37">
        <f>IF('Imperial Data'!$B$2,J71,H71)</f>
        <v>10649.667836073331</v>
      </c>
      <c r="M71" s="112">
        <f>IF('Imperial Data'!$B$2,K71,I71)</f>
        <v>102.33333333333333</v>
      </c>
      <c r="O71" s="32">
        <f t="shared" si="4"/>
        <v>102.33333333333333</v>
      </c>
      <c r="Q71" s="112">
        <f t="shared" si="8"/>
        <v>2.3333333333333401</v>
      </c>
      <c r="R71" s="32">
        <f t="shared" si="9"/>
        <v>2.3333333333333401</v>
      </c>
      <c r="S71" s="32">
        <f t="shared" si="10"/>
        <v>5348.5453350403022</v>
      </c>
      <c r="U71" s="32">
        <f t="shared" si="5"/>
        <v>1</v>
      </c>
      <c r="W71" s="30" t="str" cm="1">
        <f t="array" ref="W71">IF($AO$21="INVERT",R71,IF(W70&gt;=$S$12,"",IF(R70="","",INDEX($R$18:$R$227,$U$17-ROWS($R$18:$R70)))))</f>
        <v/>
      </c>
      <c r="X71" s="30" t="str">
        <f t="shared" si="6"/>
        <v/>
      </c>
      <c r="Y71" s="30" t="str">
        <f>IF(Y70="","",IF($AO$21="TYP",IF(S70="","",INDEX($S$18:$S$227,$U$17-ROWS($S$18:$S70))),IF($AO$21="INVERT",S71,"")))</f>
        <v/>
      </c>
      <c r="Z71" s="75" t="str">
        <f t="shared" si="11"/>
        <v/>
      </c>
    </row>
    <row r="72" spans="1:26" x14ac:dyDescent="0.2">
      <c r="A72" s="32">
        <f t="shared" si="1"/>
        <v>72</v>
      </c>
      <c r="C72" s="35">
        <f>IF(OR(C71=1,C71=""),"",'Imperial Calcs'!B68)</f>
        <v>27</v>
      </c>
      <c r="D72" s="30">
        <f>IF(C72="","",'Imperial Calcs'!C68)</f>
        <v>3.8120461900000038</v>
      </c>
      <c r="E72" s="30">
        <f>IF(OR(C71=1,C71=""),"",IF('Imperial Data'!$B$2,'Imperial Calcs'!D68,'Imperial Calcs'!E68))</f>
        <v>0.94341004999999711</v>
      </c>
      <c r="F72" s="30">
        <f>IF(OR(C71=1,C71=""),"",IF('Imperial Data'!$B$2,'Imperial Calcs'!E68,'Imperial Calcs'!G68))</f>
        <v>381.20461900000038</v>
      </c>
      <c r="G72" s="30">
        <f>IF(OR(C71=1,C71=""),"",IF('Imperial Data'!$B$2,'Imperial Calcs'!F68,'Imperial Calcs'!J68))</f>
        <v>9.4341004999999711</v>
      </c>
      <c r="H72" s="30">
        <f>IF(OR(C71=1,C71=""),"",IF('Imperial Data'!$B$2,'Imperial Calcs'!G68,'Imperial Calcs'!M68))</f>
        <v>57.077845533333175</v>
      </c>
      <c r="I72" s="30">
        <f>IF(C72="","",IF('Imperial Data'!$B$2,'Imperial Calcs'!J68,'Imperial Calcs'!Y68))</f>
        <v>447.7165650333335</v>
      </c>
      <c r="J72" s="30">
        <f>IF('Imperial Data'!$B$2,'Imperial Calcs'!M68,"")</f>
        <v>10203.955724819998</v>
      </c>
      <c r="K72" s="30">
        <f>IF('Imperial Data'!$B$2,'Imperial Calcs'!Y68,"")</f>
        <v>102.25</v>
      </c>
      <c r="L72" s="37">
        <f>IF('Imperial Data'!$B$2,J72,H72)</f>
        <v>10203.955724819998</v>
      </c>
      <c r="M72" s="112">
        <f>IF('Imperial Data'!$B$2,K72,I72)</f>
        <v>102.25</v>
      </c>
      <c r="O72" s="32">
        <f t="shared" si="4"/>
        <v>102.25</v>
      </c>
      <c r="Q72" s="112">
        <f t="shared" si="8"/>
        <v>2.2500000000000067</v>
      </c>
      <c r="R72" s="32">
        <f t="shared" si="9"/>
        <v>2.2500000000000067</v>
      </c>
      <c r="S72" s="32">
        <f t="shared" si="10"/>
        <v>5372.5987804003089</v>
      </c>
      <c r="U72" s="32">
        <f t="shared" si="5"/>
        <v>1</v>
      </c>
      <c r="W72" s="30" t="str" cm="1">
        <f t="array" ref="W72">IF($AO$21="INVERT",R72,IF(W71&gt;=$S$12,"",IF(R71="","",INDEX($R$18:$R$227,$U$17-ROWS($R$18:$R71)))))</f>
        <v/>
      </c>
      <c r="X72" s="30" t="str">
        <f t="shared" si="6"/>
        <v/>
      </c>
      <c r="Y72" s="30" t="str">
        <f>IF(Y71="","",IF($AO$21="TYP",IF(S71="","",INDEX($S$18:$S$227,$U$17-ROWS($S$18:$S71))),IF($AO$21="INVERT",S72,"")))</f>
        <v/>
      </c>
      <c r="Z72" s="75" t="str">
        <f t="shared" si="11"/>
        <v/>
      </c>
    </row>
    <row r="73" spans="1:26" x14ac:dyDescent="0.2">
      <c r="A73" s="32">
        <f t="shared" si="1"/>
        <v>73</v>
      </c>
      <c r="C73" s="35">
        <f>IF(OR(C72=1,C72=""),"",'Imperial Calcs'!B69)</f>
        <v>26</v>
      </c>
      <c r="D73" s="30">
        <f>IF(C73="","",'Imperial Calcs'!C69)</f>
        <v>3.8416929599999889</v>
      </c>
      <c r="E73" s="30">
        <f>IF(OR(C72=1,C72=""),"",IF('Imperial Data'!$B$2,'Imperial Calcs'!D69,'Imperial Calcs'!E69))</f>
        <v>0.95634088999999989</v>
      </c>
      <c r="F73" s="30">
        <f>IF(OR(C72=1,C72=""),"",IF('Imperial Data'!$B$2,'Imperial Calcs'!E69,'Imperial Calcs'!G69))</f>
        <v>384.16929599999889</v>
      </c>
      <c r="G73" s="30">
        <f>IF(OR(C72=1,C72=""),"",IF('Imperial Data'!$B$2,'Imperial Calcs'!F69,'Imperial Calcs'!J69))</f>
        <v>9.5634088999999989</v>
      </c>
      <c r="H73" s="30">
        <f>IF(OR(C72=1,C72=""),"",IF('Imperial Data'!$B$2,'Imperial Calcs'!G69,'Imperial Calcs'!M69))</f>
        <v>55.840251373333743</v>
      </c>
      <c r="I73" s="30">
        <f>IF(C73="","",IF('Imperial Data'!$B$2,'Imperial Calcs'!J69,'Imperial Calcs'!Y69))</f>
        <v>449.57295627333264</v>
      </c>
      <c r="J73" s="30">
        <f>IF('Imperial Data'!$B$2,'Imperial Calcs'!M69,"")</f>
        <v>9756.2391597866645</v>
      </c>
      <c r="K73" s="30">
        <f>IF('Imperial Data'!$B$2,'Imperial Calcs'!Y69,"")</f>
        <v>102.16666666666667</v>
      </c>
      <c r="L73" s="37">
        <f>IF('Imperial Data'!$B$2,J73,H73)</f>
        <v>9756.2391597866645</v>
      </c>
      <c r="M73" s="112">
        <f>IF('Imperial Data'!$B$2,K73,I73)</f>
        <v>102.16666666666667</v>
      </c>
      <c r="O73" s="32">
        <f t="shared" si="4"/>
        <v>102.16666666666667</v>
      </c>
      <c r="Q73" s="112">
        <f t="shared" si="8"/>
        <v>2.1666666666666732</v>
      </c>
      <c r="R73" s="32">
        <f t="shared" si="9"/>
        <v>2.1666666666666732</v>
      </c>
      <c r="S73" s="32">
        <f t="shared" si="10"/>
        <v>5394.8754752793739</v>
      </c>
      <c r="U73" s="32">
        <f t="shared" si="5"/>
        <v>1</v>
      </c>
      <c r="W73" s="30" t="str" cm="1">
        <f t="array" ref="W73">IF($AO$21="INVERT",R73,IF(W72&gt;=$S$12,"",IF(R72="","",INDEX($R$18:$R$227,$U$17-ROWS($R$18:$R72)))))</f>
        <v/>
      </c>
      <c r="X73" s="30" t="str">
        <f t="shared" si="6"/>
        <v/>
      </c>
      <c r="Y73" s="30" t="str">
        <f>IF(Y72="","",IF($AO$21="TYP",IF(S72="","",INDEX($S$18:$S$227,$U$17-ROWS($S$18:$S72))),IF($AO$21="INVERT",S73,"")))</f>
        <v/>
      </c>
      <c r="Z73" s="75" t="str">
        <f t="shared" si="11"/>
        <v/>
      </c>
    </row>
    <row r="74" spans="1:26" x14ac:dyDescent="0.2">
      <c r="A74" s="32">
        <f t="shared" si="1"/>
        <v>74</v>
      </c>
      <c r="C74" s="35">
        <f>IF(OR(C73=1,C73=""),"",'Imperial Calcs'!B70)</f>
        <v>25</v>
      </c>
      <c r="D74" s="30">
        <f>IF(C74="","",'Imperial Calcs'!C70)</f>
        <v>3.8701618800000048</v>
      </c>
      <c r="E74" s="30">
        <f>IF(OR(C73=1,C73=""),"",IF('Imperial Data'!$B$2,'Imperial Calcs'!D70,'Imperial Calcs'!E70))</f>
        <v>0.96864110000000103</v>
      </c>
      <c r="F74" s="30">
        <f>IF(OR(C73=1,C73=""),"",IF('Imperial Data'!$B$2,'Imperial Calcs'!E70,'Imperial Calcs'!G70))</f>
        <v>387.01618800000051</v>
      </c>
      <c r="G74" s="30">
        <f>IF(OR(C73=1,C73=""),"",IF('Imperial Data'!$B$2,'Imperial Calcs'!F70,'Imperial Calcs'!J70))</f>
        <v>9.6864110000000103</v>
      </c>
      <c r="H74" s="30">
        <f>IF(OR(C73=1,C73=""),"",IF('Imperial Data'!$B$2,'Imperial Calcs'!G70,'Imperial Calcs'!M70))</f>
        <v>54.652293733333096</v>
      </c>
      <c r="I74" s="30">
        <f>IF(C74="","",IF('Imperial Data'!$B$2,'Imperial Calcs'!J70,'Imperial Calcs'!Y70))</f>
        <v>451.3548927333336</v>
      </c>
      <c r="J74" s="30">
        <f>IF('Imperial Data'!$B$2,'Imperial Calcs'!M70,"")</f>
        <v>9306.6662035133322</v>
      </c>
      <c r="K74" s="30">
        <f>IF('Imperial Data'!$B$2,'Imperial Calcs'!Y70,"")</f>
        <v>102.08333333333333</v>
      </c>
      <c r="L74" s="37">
        <f>IF('Imperial Data'!$B$2,J74,H74)</f>
        <v>9306.6662035133322</v>
      </c>
      <c r="M74" s="112">
        <f>IF('Imperial Data'!$B$2,K74,I74)</f>
        <v>102.08333333333333</v>
      </c>
      <c r="O74" s="32">
        <f t="shared" si="4"/>
        <v>102.08333333333333</v>
      </c>
      <c r="Q74" s="112">
        <f t="shared" si="8"/>
        <v>2.0833333333333397</v>
      </c>
      <c r="R74" s="32">
        <f t="shared" si="9"/>
        <v>2.0833333333333397</v>
      </c>
      <c r="S74" s="32">
        <f t="shared" si="10"/>
        <v>5416.258712800317</v>
      </c>
      <c r="U74" s="32">
        <f t="shared" si="5"/>
        <v>1</v>
      </c>
      <c r="W74" s="30" t="str" cm="1">
        <f t="array" ref="W74">IF($AO$21="INVERT",R74,IF(W73&gt;=$S$12,"",IF(R73="","",INDEX($R$18:$R$227,$U$17-ROWS($R$18:$R73)))))</f>
        <v/>
      </c>
      <c r="X74" s="30" t="str">
        <f t="shared" si="6"/>
        <v/>
      </c>
      <c r="Y74" s="30" t="str">
        <f>IF(Y73="","",IF($AO$21="TYP",IF(S73="","",INDEX($S$18:$S$227,$U$17-ROWS($S$18:$S73))),IF($AO$21="INVERT",S74,"")))</f>
        <v/>
      </c>
      <c r="Z74" s="75" t="str">
        <f t="shared" si="11"/>
        <v/>
      </c>
    </row>
    <row r="75" spans="1:26" x14ac:dyDescent="0.2">
      <c r="A75" s="32">
        <f t="shared" si="1"/>
        <v>75</v>
      </c>
      <c r="C75" s="35">
        <f>IF(OR(C74=1,C74=""),"",'Imperial Calcs'!B71)</f>
        <v>24</v>
      </c>
      <c r="D75" s="30">
        <f>IF(C75="","",'Imperial Calcs'!C71)</f>
        <v>3.8974015800000004</v>
      </c>
      <c r="E75" s="30">
        <f>IF(OR(C74=1,C74=""),"",IF('Imperial Data'!$B$2,'Imperial Calcs'!D71,'Imperial Calcs'!E71))</f>
        <v>0.98137976000000116</v>
      </c>
      <c r="F75" s="30">
        <f>IF(OR(C74=1,C74=""),"",IF('Imperial Data'!$B$2,'Imperial Calcs'!E71,'Imperial Calcs'!G71))</f>
        <v>389.74015800000006</v>
      </c>
      <c r="G75" s="30">
        <f>IF(OR(C74=1,C74=""),"",IF('Imperial Data'!$B$2,'Imperial Calcs'!F71,'Imperial Calcs'!J71))</f>
        <v>9.8137976000000116</v>
      </c>
      <c r="H75" s="30">
        <f>IF(OR(C74=1,C74=""),"",IF('Imperial Data'!$B$2,'Imperial Calcs'!G71,'Imperial Calcs'!M71))</f>
        <v>53.511751093333288</v>
      </c>
      <c r="I75" s="30">
        <f>IF(C75="","",IF('Imperial Data'!$B$2,'Imperial Calcs'!J71,'Imperial Calcs'!Y71))</f>
        <v>453.06570669333337</v>
      </c>
      <c r="J75" s="30">
        <f>IF('Imperial Data'!$B$2,'Imperial Calcs'!M71,"")</f>
        <v>8855.3113107799982</v>
      </c>
      <c r="K75" s="30">
        <f>IF('Imperial Data'!$B$2,'Imperial Calcs'!Y71,"")</f>
        <v>102</v>
      </c>
      <c r="L75" s="37">
        <f>IF('Imperial Data'!$B$2,J75,H75)</f>
        <v>8855.3113107799982</v>
      </c>
      <c r="M75" s="112">
        <f>IF('Imperial Data'!$B$2,K75,I75)</f>
        <v>102</v>
      </c>
      <c r="O75" s="32">
        <f t="shared" si="4"/>
        <v>102</v>
      </c>
      <c r="Q75" s="112">
        <f t="shared" si="8"/>
        <v>2.0000000000000062</v>
      </c>
      <c r="R75" s="32">
        <f t="shared" si="9"/>
        <v>2.0000000000000062</v>
      </c>
      <c r="S75" s="32">
        <f t="shared" si="10"/>
        <v>5436.7884803203015</v>
      </c>
      <c r="U75" s="32">
        <f t="shared" si="5"/>
        <v>1</v>
      </c>
      <c r="W75" s="30" t="str" cm="1">
        <f t="array" ref="W75">IF($AO$21="INVERT",R75,IF(W74&gt;=$S$12,"",IF(R74="","",INDEX($R$18:$R$227,$U$17-ROWS($R$18:$R74)))))</f>
        <v/>
      </c>
      <c r="X75" s="30" t="str">
        <f t="shared" si="6"/>
        <v/>
      </c>
      <c r="Y75" s="30" t="str">
        <f>IF(Y74="","",IF($AO$21="TYP",IF(S74="","",INDEX($S$18:$S$227,$U$17-ROWS($S$18:$S74))),IF($AO$21="INVERT",S75,"")))</f>
        <v/>
      </c>
      <c r="Z75" s="75" t="str">
        <f t="shared" si="11"/>
        <v/>
      </c>
    </row>
    <row r="76" spans="1:26" x14ac:dyDescent="0.2">
      <c r="A76" s="32">
        <f t="shared" si="1"/>
        <v>76</v>
      </c>
      <c r="C76" s="35">
        <f>IF(OR(C75=1,C75=""),"",'Imperial Calcs'!B72)</f>
        <v>23</v>
      </c>
      <c r="D76" s="30">
        <f>IF(C76="","",'Imperial Calcs'!C72)</f>
        <v>3.9234501000000037</v>
      </c>
      <c r="E76" s="30">
        <f>IF(OR(C75=1,C75=""),"",IF('Imperial Data'!$B$2,'Imperial Calcs'!D72,'Imperial Calcs'!E72))</f>
        <v>0.97114358999999872</v>
      </c>
      <c r="F76" s="30">
        <f>IF(OR(C75=1,C75=""),"",IF('Imperial Data'!$B$2,'Imperial Calcs'!E72,'Imperial Calcs'!G72))</f>
        <v>392.34501000000034</v>
      </c>
      <c r="G76" s="30">
        <f>IF(OR(C75=1,C75=""),"",IF('Imperial Data'!$B$2,'Imperial Calcs'!F72,'Imperial Calcs'!J72))</f>
        <v>9.7114358999999872</v>
      </c>
      <c r="H76" s="30">
        <f>IF(OR(C75=1,C75=""),"",IF('Imperial Data'!$B$2,'Imperial Calcs'!G72,'Imperial Calcs'!M72))</f>
        <v>52.510754973333178</v>
      </c>
      <c r="I76" s="30">
        <f>IF(C76="","",IF('Imperial Data'!$B$2,'Imperial Calcs'!J72,'Imperial Calcs'!Y72))</f>
        <v>454.56720087333349</v>
      </c>
      <c r="J76" s="30">
        <f>IF('Imperial Data'!$B$2,'Imperial Calcs'!M72,"")</f>
        <v>8402.2456040866655</v>
      </c>
      <c r="K76" s="30">
        <f>IF('Imperial Data'!$B$2,'Imperial Calcs'!Y72,"")</f>
        <v>101.91666666666667</v>
      </c>
      <c r="L76" s="37">
        <f>IF('Imperial Data'!$B$2,J76,H76)</f>
        <v>8402.2456040866655</v>
      </c>
      <c r="M76" s="112">
        <f>IF('Imperial Data'!$B$2,K76,I76)</f>
        <v>101.91666666666667</v>
      </c>
      <c r="O76" s="32">
        <f t="shared" si="4"/>
        <v>101.91666666666667</v>
      </c>
      <c r="Q76" s="112">
        <f t="shared" si="8"/>
        <v>1.916666666666673</v>
      </c>
      <c r="R76" s="32">
        <f t="shared" si="9"/>
        <v>1.916666666666673</v>
      </c>
      <c r="S76" s="32">
        <f t="shared" si="10"/>
        <v>5454.8064104793721</v>
      </c>
      <c r="U76" s="32">
        <f t="shared" si="5"/>
        <v>1</v>
      </c>
      <c r="W76" s="30" t="str" cm="1">
        <f t="array" ref="W76">IF($AO$21="INVERT",R76,IF(W75&gt;=$S$12,"",IF(R75="","",INDEX($R$18:$R$227,$U$17-ROWS($R$18:$R75)))))</f>
        <v/>
      </c>
      <c r="X76" s="30" t="str">
        <f t="shared" si="6"/>
        <v/>
      </c>
      <c r="Y76" s="30" t="str">
        <f>IF(Y75="","",IF($AO$21="TYP",IF(S75="","",INDEX($S$18:$S$227,$U$17-ROWS($S$18:$S75))),IF($AO$21="INVERT",S76,"")))</f>
        <v/>
      </c>
      <c r="Z76" s="75" t="str">
        <f t="shared" si="11"/>
        <v/>
      </c>
    </row>
    <row r="77" spans="1:26" x14ac:dyDescent="0.2">
      <c r="A77" s="32">
        <f t="shared" si="1"/>
        <v>77</v>
      </c>
      <c r="C77" s="35">
        <f>IF(OR(C76=1,C76=""),"",'Imperial Calcs'!B73)</f>
        <v>22</v>
      </c>
      <c r="D77" s="30">
        <f>IF(C77="","",'Imperial Calcs'!C73)</f>
        <v>3.9482757500000005</v>
      </c>
      <c r="E77" s="30">
        <f>IF(OR(C76=1,C76=""),"",IF('Imperial Data'!$B$2,'Imperial Calcs'!D73,'Imperial Calcs'!E73))</f>
        <v>1.0032460500000013</v>
      </c>
      <c r="F77" s="30">
        <f>IF(OR(C76=1,C76=""),"",IF('Imperial Data'!$B$2,'Imperial Calcs'!E73,'Imperial Calcs'!G73))</f>
        <v>394.82757500000002</v>
      </c>
      <c r="G77" s="30">
        <f>IF(OR(C76=1,C76=""),"",IF('Imperial Data'!$B$2,'Imperial Calcs'!F73,'Imperial Calcs'!J73))</f>
        <v>10.032460500000013</v>
      </c>
      <c r="H77" s="30">
        <f>IF(OR(C76=1,C76=""),"",IF('Imperial Data'!$B$2,'Imperial Calcs'!G73,'Imperial Calcs'!M73))</f>
        <v>51.389319133333288</v>
      </c>
      <c r="I77" s="30">
        <f>IF(C77="","",IF('Imperial Data'!$B$2,'Imperial Calcs'!J73,'Imperial Calcs'!Y73))</f>
        <v>456.24935463333333</v>
      </c>
      <c r="J77" s="30">
        <f>IF('Imperial Data'!$B$2,'Imperial Calcs'!M73,"")</f>
        <v>7947.6784032133328</v>
      </c>
      <c r="K77" s="30">
        <f>IF('Imperial Data'!$B$2,'Imperial Calcs'!Y73,"")</f>
        <v>101.83333333333333</v>
      </c>
      <c r="L77" s="37">
        <f>IF('Imperial Data'!$B$2,J77,H77)</f>
        <v>7947.6784032133328</v>
      </c>
      <c r="M77" s="112">
        <f>IF('Imperial Data'!$B$2,K77,I77)</f>
        <v>101.83333333333333</v>
      </c>
      <c r="O77" s="32">
        <f t="shared" si="4"/>
        <v>101.83333333333333</v>
      </c>
      <c r="Q77" s="112">
        <f t="shared" si="8"/>
        <v>1.8333333333333397</v>
      </c>
      <c r="R77" s="32">
        <f t="shared" si="9"/>
        <v>1.8333333333333397</v>
      </c>
      <c r="S77" s="32">
        <f t="shared" si="10"/>
        <v>5474.992255600313</v>
      </c>
      <c r="U77" s="32">
        <f t="shared" si="5"/>
        <v>1</v>
      </c>
      <c r="W77" s="30" t="str" cm="1">
        <f t="array" ref="W77">IF($AO$21="INVERT",R77,IF(W76&gt;=$S$12,"",IF(R76="","",INDEX($R$18:$R$227,$U$17-ROWS($R$18:$R76)))))</f>
        <v/>
      </c>
      <c r="X77" s="30" t="str">
        <f t="shared" si="6"/>
        <v/>
      </c>
      <c r="Y77" s="30" t="str">
        <f>IF(Y76="","",IF($AO$21="TYP",IF(S76="","",INDEX($S$18:$S$227,$U$17-ROWS($S$18:$S76))),IF($AO$21="INVERT",S77,"")))</f>
        <v/>
      </c>
      <c r="Z77" s="75" t="str">
        <f t="shared" si="11"/>
        <v/>
      </c>
    </row>
    <row r="78" spans="1:26" x14ac:dyDescent="0.2">
      <c r="A78" s="32">
        <f t="shared" si="1"/>
        <v>78</v>
      </c>
      <c r="C78" s="35">
        <f>IF(OR(C77=1,C77=""),"",'Imperial Calcs'!B74)</f>
        <v>21</v>
      </c>
      <c r="D78" s="30">
        <f>IF(C78="","",'Imperial Calcs'!C74)</f>
        <v>3.9719479899999968</v>
      </c>
      <c r="E78" s="30">
        <f>IF(OR(C77=1,C77=""),"",IF('Imperial Data'!$B$2,'Imperial Calcs'!D74,'Imperial Calcs'!E74))</f>
        <v>1.0111244299999989</v>
      </c>
      <c r="F78" s="30">
        <f>IF(OR(C77=1,C77=""),"",IF('Imperial Data'!$B$2,'Imperial Calcs'!E74,'Imperial Calcs'!G74))</f>
        <v>397.19479899999965</v>
      </c>
      <c r="G78" s="30">
        <f>IF(OR(C77=1,C77=""),"",IF('Imperial Data'!$B$2,'Imperial Calcs'!F74,'Imperial Calcs'!J74))</f>
        <v>10.111244299999989</v>
      </c>
      <c r="H78" s="30">
        <f>IF(OR(C77=1,C77=""),"",IF('Imperial Data'!$B$2,'Imperial Calcs'!G74,'Imperial Calcs'!M74))</f>
        <v>50.410916013333441</v>
      </c>
      <c r="I78" s="30">
        <f>IF(C78="","",IF('Imperial Data'!$B$2,'Imperial Calcs'!J74,'Imperial Calcs'!Y74))</f>
        <v>457.71695931333306</v>
      </c>
      <c r="J78" s="30">
        <f>IF('Imperial Data'!$B$2,'Imperial Calcs'!M74,"")</f>
        <v>7491.4290485799993</v>
      </c>
      <c r="K78" s="30">
        <f>IF('Imperial Data'!$B$2,'Imperial Calcs'!Y74,"")</f>
        <v>101.75</v>
      </c>
      <c r="L78" s="37">
        <f>IF('Imperial Data'!$B$2,J78,H78)</f>
        <v>7491.4290485799993</v>
      </c>
      <c r="M78" s="112">
        <f>IF('Imperial Data'!$B$2,K78,I78)</f>
        <v>101.75</v>
      </c>
      <c r="O78" s="32">
        <f t="shared" si="4"/>
        <v>101.75</v>
      </c>
      <c r="Q78" s="112">
        <f t="shared" si="8"/>
        <v>1.7500000000000064</v>
      </c>
      <c r="R78" s="32">
        <f t="shared" si="9"/>
        <v>1.7500000000000064</v>
      </c>
      <c r="S78" s="32">
        <f t="shared" si="10"/>
        <v>5492.6035117603087</v>
      </c>
      <c r="U78" s="32">
        <f t="shared" si="5"/>
        <v>1</v>
      </c>
      <c r="W78" s="30" t="str" cm="1">
        <f t="array" ref="W78">IF($AO$21="INVERT",R78,IF(W77&gt;=$S$12,"",IF(R77="","",INDEX($R$18:$R$227,$U$17-ROWS($R$18:$R77)))))</f>
        <v/>
      </c>
      <c r="X78" s="30" t="str">
        <f t="shared" si="6"/>
        <v/>
      </c>
      <c r="Y78" s="30" t="str">
        <f>IF(Y77="","",IF($AO$21="TYP",IF(S77="","",INDEX($S$18:$S$227,$U$17-ROWS($S$18:$S77))),IF($AO$21="INVERT",S78,"")))</f>
        <v/>
      </c>
      <c r="Z78" s="75" t="str">
        <f t="shared" si="11"/>
        <v/>
      </c>
    </row>
    <row r="79" spans="1:26" x14ac:dyDescent="0.2">
      <c r="A79" s="32">
        <f t="shared" si="1"/>
        <v>79</v>
      </c>
      <c r="C79" s="35">
        <f>IF(OR(C78=1,C78=""),"",'Imperial Calcs'!B75)</f>
        <v>20</v>
      </c>
      <c r="D79" s="30">
        <f>IF(C79="","",'Imperial Calcs'!C75)</f>
        <v>3.9945252500000024</v>
      </c>
      <c r="E79" s="30">
        <f>IF(OR(C78=1,C78=""),"",IF('Imperial Data'!$B$2,'Imperial Calcs'!D75,'Imperial Calcs'!E75))</f>
        <v>1.0203583600000012</v>
      </c>
      <c r="F79" s="30">
        <f>IF(OR(C78=1,C78=""),"",IF('Imperial Data'!$B$2,'Imperial Calcs'!E75,'Imperial Calcs'!G75))</f>
        <v>399.45252500000026</v>
      </c>
      <c r="G79" s="30">
        <f>IF(OR(C78=1,C78=""),"",IF('Imperial Data'!$B$2,'Imperial Calcs'!F75,'Imperial Calcs'!J75))</f>
        <v>10.203583600000012</v>
      </c>
      <c r="H79" s="30">
        <f>IF(OR(C78=1,C78=""),"",IF('Imperial Data'!$B$2,'Imperial Calcs'!G75,'Imperial Calcs'!M75))</f>
        <v>49.470889893333201</v>
      </c>
      <c r="I79" s="30">
        <f>IF(C79="","",IF('Imperial Data'!$B$2,'Imperial Calcs'!J75,'Imperial Calcs'!Y75))</f>
        <v>459.12699849333347</v>
      </c>
      <c r="J79" s="30">
        <f>IF('Imperial Data'!$B$2,'Imperial Calcs'!M75,"")</f>
        <v>7033.7120892666662</v>
      </c>
      <c r="K79" s="30">
        <f>IF('Imperial Data'!$B$2,'Imperial Calcs'!Y75,"")</f>
        <v>101.66666666666667</v>
      </c>
      <c r="L79" s="37">
        <f>IF('Imperial Data'!$B$2,J79,H79)</f>
        <v>7033.7120892666662</v>
      </c>
      <c r="M79" s="112">
        <f>IF('Imperial Data'!$B$2,K79,I79)</f>
        <v>101.66666666666667</v>
      </c>
      <c r="O79" s="32">
        <f t="shared" si="4"/>
        <v>101.66666666666667</v>
      </c>
      <c r="Q79" s="112">
        <f t="shared" si="8"/>
        <v>1.6666666666666732</v>
      </c>
      <c r="R79" s="32">
        <f t="shared" si="9"/>
        <v>1.6666666666666732</v>
      </c>
      <c r="S79" s="32">
        <f t="shared" si="10"/>
        <v>5509.523981919373</v>
      </c>
      <c r="U79" s="32">
        <f t="shared" si="5"/>
        <v>1</v>
      </c>
      <c r="W79" s="30" t="str" cm="1">
        <f t="array" ref="W79">IF($AO$21="INVERT",R79,IF(W78&gt;=$S$12,"",IF(R78="","",INDEX($R$18:$R$227,$U$17-ROWS($R$18:$R78)))))</f>
        <v/>
      </c>
      <c r="X79" s="30" t="str">
        <f t="shared" si="6"/>
        <v/>
      </c>
      <c r="Y79" s="30" t="str">
        <f>IF(Y78="","",IF($AO$21="TYP",IF(S78="","",INDEX($S$18:$S$227,$U$17-ROWS($S$18:$S78))),IF($AO$21="INVERT",S79,"")))</f>
        <v/>
      </c>
      <c r="Z79" s="75" t="str">
        <f t="shared" si="11"/>
        <v/>
      </c>
    </row>
    <row r="80" spans="1:26" x14ac:dyDescent="0.2">
      <c r="A80" s="32">
        <f t="shared" si="1"/>
        <v>80</v>
      </c>
      <c r="C80" s="35">
        <f>IF(OR(C79=1,C79=""),"",'Imperial Calcs'!B76)</f>
        <v>19</v>
      </c>
      <c r="D80" s="30">
        <f>IF(C80="","",'Imperial Calcs'!C76)</f>
        <v>4.0159295599999965</v>
      </c>
      <c r="E80" s="30">
        <f>IF(OR(C79=1,C79=""),"",IF('Imperial Data'!$B$2,'Imperial Calcs'!D76,'Imperial Calcs'!E76))</f>
        <v>1.0303284899999987</v>
      </c>
      <c r="F80" s="30">
        <f>IF(OR(C79=1,C79=""),"",IF('Imperial Data'!$B$2,'Imperial Calcs'!E76,'Imperial Calcs'!G76))</f>
        <v>401.59295599999962</v>
      </c>
      <c r="G80" s="30">
        <f>IF(OR(C79=1,C79=""),"",IF('Imperial Data'!$B$2,'Imperial Calcs'!F76,'Imperial Calcs'!J76))</f>
        <v>10.303284899999987</v>
      </c>
      <c r="H80" s="30">
        <f>IF(OR(C79=1,C79=""),"",IF('Imperial Data'!$B$2,'Imperial Calcs'!G76,'Imperial Calcs'!M76))</f>
        <v>48.574836973333461</v>
      </c>
      <c r="I80" s="30">
        <f>IF(C80="","",IF('Imperial Data'!$B$2,'Imperial Calcs'!J76,'Imperial Calcs'!Y76))</f>
        <v>460.47107787333306</v>
      </c>
      <c r="J80" s="30">
        <f>IF('Imperial Data'!$B$2,'Imperial Calcs'!M76,"")</f>
        <v>6574.5850907733329</v>
      </c>
      <c r="K80" s="30">
        <f>IF('Imperial Data'!$B$2,'Imperial Calcs'!Y76,"")</f>
        <v>101.58333333333333</v>
      </c>
      <c r="L80" s="37">
        <f>IF('Imperial Data'!$B$2,J80,H80)</f>
        <v>6574.5850907733329</v>
      </c>
      <c r="M80" s="112">
        <f>IF('Imperial Data'!$B$2,K80,I80)</f>
        <v>101.58333333333333</v>
      </c>
      <c r="O80" s="32">
        <f t="shared" si="4"/>
        <v>101.58333333333333</v>
      </c>
      <c r="Q80" s="112">
        <f t="shared" si="8"/>
        <v>1.5833333333333399</v>
      </c>
      <c r="R80" s="32">
        <f t="shared" si="9"/>
        <v>1.5833333333333399</v>
      </c>
      <c r="S80" s="32">
        <f t="shared" si="10"/>
        <v>5525.6529344803139</v>
      </c>
      <c r="U80" s="32">
        <f t="shared" si="5"/>
        <v>1</v>
      </c>
      <c r="W80" s="30" t="str" cm="1">
        <f t="array" ref="W80">IF($AO$21="INVERT",R80,IF(W79&gt;=$S$12,"",IF(R79="","",INDEX($R$18:$R$227,$U$17-ROWS($R$18:$R79)))))</f>
        <v/>
      </c>
      <c r="X80" s="30" t="str">
        <f t="shared" si="6"/>
        <v/>
      </c>
      <c r="Y80" s="30" t="str">
        <f>IF(Y79="","",IF($AO$21="TYP",IF(S79="","",INDEX($S$18:$S$227,$U$17-ROWS($S$18:$S79))),IF($AO$21="INVERT",S80,"")))</f>
        <v/>
      </c>
      <c r="Z80" s="75" t="str">
        <f t="shared" si="11"/>
        <v/>
      </c>
    </row>
    <row r="81" spans="1:26" x14ac:dyDescent="0.2">
      <c r="A81" s="32">
        <f t="shared" si="1"/>
        <v>81</v>
      </c>
      <c r="C81" s="35">
        <f>IF(OR(C80=1,C80=""),"",'Imperial Calcs'!B77)</f>
        <v>18</v>
      </c>
      <c r="D81" s="30">
        <f>IF(C81="","",'Imperial Calcs'!C77)</f>
        <v>4.0362060200000016</v>
      </c>
      <c r="E81" s="30">
        <f>IF(OR(C80=1,C80=""),"",IF('Imperial Data'!$B$2,'Imperial Calcs'!D77,'Imperial Calcs'!E77))</f>
        <v>1.0387091000000002</v>
      </c>
      <c r="F81" s="30">
        <f>IF(OR(C80=1,C80=""),"",IF('Imperial Data'!$B$2,'Imperial Calcs'!E77,'Imperial Calcs'!G77))</f>
        <v>403.62060200000019</v>
      </c>
      <c r="G81" s="30">
        <f>IF(OR(C80=1,C80=""),"",IF('Imperial Data'!$B$2,'Imperial Calcs'!F77,'Imperial Calcs'!J77))</f>
        <v>10.387091000000002</v>
      </c>
      <c r="H81" s="30">
        <f>IF(OR(C80=1,C80=""),"",IF('Imperial Data'!$B$2,'Imperial Calcs'!G77,'Imperial Calcs'!M77))</f>
        <v>47.730256133333228</v>
      </c>
      <c r="I81" s="30">
        <f>IF(C81="","",IF('Imperial Data'!$B$2,'Imperial Calcs'!J77,'Imperial Calcs'!Y77))</f>
        <v>461.73794913333342</v>
      </c>
      <c r="J81" s="30">
        <f>IF('Imperial Data'!$B$2,'Imperial Calcs'!M77,"")</f>
        <v>6114.1140128999996</v>
      </c>
      <c r="K81" s="30">
        <f>IF('Imperial Data'!$B$2,'Imperial Calcs'!Y77,"")</f>
        <v>101.5</v>
      </c>
      <c r="L81" s="37">
        <f>IF('Imperial Data'!$B$2,J81,H81)</f>
        <v>6114.1140128999996</v>
      </c>
      <c r="M81" s="112">
        <f>IF('Imperial Data'!$B$2,K81,I81)</f>
        <v>101.5</v>
      </c>
      <c r="O81" s="32">
        <f t="shared" si="4"/>
        <v>101.5</v>
      </c>
      <c r="Q81" s="112">
        <f t="shared" si="8"/>
        <v>1.5000000000000067</v>
      </c>
      <c r="R81" s="32">
        <f t="shared" si="9"/>
        <v>1.5000000000000067</v>
      </c>
      <c r="S81" s="32">
        <f t="shared" si="10"/>
        <v>5540.8553896003123</v>
      </c>
      <c r="U81" s="32">
        <f t="shared" si="5"/>
        <v>1</v>
      </c>
      <c r="W81" s="30" t="str" cm="1">
        <f t="array" ref="W81">IF($AO$21="INVERT",R81,IF(W80&gt;=$S$12,"",IF(R80="","",INDEX($R$18:$R$227,$U$17-ROWS($R$18:$R80)))))</f>
        <v/>
      </c>
      <c r="X81" s="30" t="str">
        <f t="shared" si="6"/>
        <v/>
      </c>
      <c r="Y81" s="30" t="str">
        <f>IF(Y80="","",IF($AO$21="TYP",IF(S80="","",INDEX($S$18:$S$227,$U$17-ROWS($S$18:$S80))),IF($AO$21="INVERT",S81,"")))</f>
        <v/>
      </c>
      <c r="Z81" s="75" t="str">
        <f t="shared" si="11"/>
        <v/>
      </c>
    </row>
    <row r="82" spans="1:26" x14ac:dyDescent="0.2">
      <c r="A82" s="32">
        <f t="shared" ref="A82:A145" si="12">IF(C82&lt;&gt;"",A81+1,"")</f>
        <v>82</v>
      </c>
      <c r="C82" s="35">
        <f>IF(OR(C81=1,C81=""),"",'Imperial Calcs'!B78)</f>
        <v>17</v>
      </c>
      <c r="D82" s="30">
        <f>IF(C82="","",'Imperial Calcs'!C78)</f>
        <v>4.0554265799999989</v>
      </c>
      <c r="E82" s="30">
        <f>IF(OR(C81=1,C81=""),"",IF('Imperial Data'!$B$2,'Imperial Calcs'!D78,'Imperial Calcs'!E78))</f>
        <v>1.0463667000000001</v>
      </c>
      <c r="F82" s="30">
        <f>IF(OR(C81=1,C81=""),"",IF('Imperial Data'!$B$2,'Imperial Calcs'!E78,'Imperial Calcs'!G78))</f>
        <v>405.5426579999999</v>
      </c>
      <c r="G82" s="30">
        <f>IF(OR(C81=1,C81=""),"",IF('Imperial Data'!$B$2,'Imperial Calcs'!F78,'Imperial Calcs'!J78))</f>
        <v>10.463667000000001</v>
      </c>
      <c r="H82" s="30">
        <f>IF(OR(C81=1,C81=""),"",IF('Imperial Data'!$B$2,'Imperial Calcs'!G78,'Imperial Calcs'!M78))</f>
        <v>46.930803333333351</v>
      </c>
      <c r="I82" s="30">
        <f>IF(C82="","",IF('Imperial Data'!$B$2,'Imperial Calcs'!J78,'Imperial Calcs'!Y78))</f>
        <v>462.93712833333325</v>
      </c>
      <c r="J82" s="30">
        <f>IF('Imperial Data'!$B$2,'Imperial Calcs'!M78,"")</f>
        <v>5652.3760637666664</v>
      </c>
      <c r="K82" s="30">
        <f>IF('Imperial Data'!$B$2,'Imperial Calcs'!Y78,"")</f>
        <v>101.41666666666667</v>
      </c>
      <c r="L82" s="37">
        <f>IF('Imperial Data'!$B$2,J82,H82)</f>
        <v>5652.3760637666664</v>
      </c>
      <c r="M82" s="112">
        <f>IF('Imperial Data'!$B$2,K82,I82)</f>
        <v>101.41666666666667</v>
      </c>
      <c r="O82" s="32">
        <f t="shared" si="4"/>
        <v>101.41666666666667</v>
      </c>
      <c r="Q82" s="112">
        <f t="shared" si="8"/>
        <v>1.4166666666666734</v>
      </c>
      <c r="R82" s="32">
        <f t="shared" ref="R82:R113" si="13">IF(AND(C82="",C81=1),0,IF(C82="","",IF(OR(Q82=0,Q82&gt;0),Q82,"")))</f>
        <v>1.4166666666666734</v>
      </c>
      <c r="S82" s="32">
        <f t="shared" ref="S82:S113" si="14">IF(R82="","",IF(R82=0,L81/$U$11,IF(ISNUMBER(O83),(L82-L83)/(M82-M83),S81)))</f>
        <v>5555.2455399993651</v>
      </c>
      <c r="U82" s="32">
        <f t="shared" si="5"/>
        <v>1</v>
      </c>
      <c r="W82" s="30" t="str" cm="1">
        <f t="array" ref="W82">IF($AO$21="INVERT",R82,IF(W81&gt;=$S$12,"",IF(R81="","",INDEX($R$18:$R$227,$U$17-ROWS($R$18:$R81)))))</f>
        <v/>
      </c>
      <c r="X82" s="30" t="str">
        <f t="shared" si="6"/>
        <v/>
      </c>
      <c r="Y82" s="30" t="str">
        <f>IF(Y81="","",IF($AO$21="TYP",IF(S81="","",INDEX($S$18:$S$227,$U$17-ROWS($S$18:$S81))),IF($AO$21="INVERT",S82,"")))</f>
        <v/>
      </c>
      <c r="Z82" s="75" t="str">
        <f t="shared" ref="Z82:Z113" si="15">IF(Y82="","",Y82/43560)</f>
        <v/>
      </c>
    </row>
    <row r="83" spans="1:26" x14ac:dyDescent="0.2">
      <c r="A83" s="32">
        <f t="shared" si="12"/>
        <v>83</v>
      </c>
      <c r="C83" s="35">
        <f>IF(OR(C82=1,C82=""),"",'Imperial Calcs'!B79)</f>
        <v>16</v>
      </c>
      <c r="D83" s="30">
        <f>IF(C83="","",'Imperial Calcs'!C79)</f>
        <v>4.0735517200000011</v>
      </c>
      <c r="E83" s="30">
        <f>IF(OR(C82=1,C82=""),"",IF('Imperial Data'!$B$2,'Imperial Calcs'!D79,'Imperial Calcs'!E79))</f>
        <v>1.0540244599999999</v>
      </c>
      <c r="F83" s="30">
        <f>IF(OR(C82=1,C82=""),"",IF('Imperial Data'!$B$2,'Imperial Calcs'!E79,'Imperial Calcs'!G79))</f>
        <v>407.3551720000001</v>
      </c>
      <c r="G83" s="30">
        <f>IF(OR(C82=1,C82=""),"",IF('Imperial Data'!$B$2,'Imperial Calcs'!F79,'Imperial Calcs'!J79))</f>
        <v>10.540244599999999</v>
      </c>
      <c r="H83" s="30">
        <f>IF(OR(C82=1,C82=""),"",IF('Imperial Data'!$B$2,'Imperial Calcs'!G79,'Imperial Calcs'!M79))</f>
        <v>46.175166693333267</v>
      </c>
      <c r="I83" s="30">
        <f>IF(C83="","",IF('Imperial Data'!$B$2,'Imperial Calcs'!J79,'Imperial Calcs'!Y79))</f>
        <v>464.07058329333336</v>
      </c>
      <c r="J83" s="30">
        <f>IF('Imperial Data'!$B$2,'Imperial Calcs'!M79,"")</f>
        <v>5189.4389354333334</v>
      </c>
      <c r="K83" s="30">
        <f>IF('Imperial Data'!$B$2,'Imperial Calcs'!Y79,"")</f>
        <v>101.33333333333333</v>
      </c>
      <c r="L83" s="37">
        <f>IF('Imperial Data'!$B$2,J83,H83)</f>
        <v>5189.4389354333334</v>
      </c>
      <c r="M83" s="112">
        <f>IF('Imperial Data'!$B$2,K83,I83)</f>
        <v>101.33333333333333</v>
      </c>
      <c r="O83" s="37">
        <f>IF(M84="",IF(M83="","",$F$9),M83)</f>
        <v>101.33333333333333</v>
      </c>
      <c r="Q83" s="112">
        <f t="shared" si="8"/>
        <v>1.3333333333333401</v>
      </c>
      <c r="R83" s="32">
        <f t="shared" si="13"/>
        <v>1.3333333333333401</v>
      </c>
      <c r="S83" s="32">
        <f t="shared" si="14"/>
        <v>5568.8469995203195</v>
      </c>
      <c r="U83" s="32">
        <f t="shared" ref="U83:U146" si="16">IF(R83="","",1)</f>
        <v>1</v>
      </c>
      <c r="W83" s="30" t="str" cm="1">
        <f t="array" ref="W83">IF($AO$21="INVERT",R83,IF(W82&gt;=$S$12,"",IF(R82="","",INDEX($R$18:$R$227,$U$17-ROWS($R$18:$R82)))))</f>
        <v/>
      </c>
      <c r="X83" s="30" t="str">
        <f t="shared" ref="X83:X146" si="17">IF(W83="","",$F$9+W83)</f>
        <v/>
      </c>
      <c r="Y83" s="30" t="str">
        <f>IF(Y82="","",IF($AO$21="TYP",IF(S82="","",INDEX($S$18:$S$227,$U$17-ROWS($S$18:$S82))),IF($AO$21="INVERT",S83,"")))</f>
        <v/>
      </c>
      <c r="Z83" s="75" t="str">
        <f t="shared" si="15"/>
        <v/>
      </c>
    </row>
    <row r="84" spans="1:26" x14ac:dyDescent="0.2">
      <c r="A84" s="32">
        <f t="shared" si="12"/>
        <v>84</v>
      </c>
      <c r="C84" s="35">
        <f>IF(OR(C83=1,C83=""),"",'Imperial Calcs'!B80)</f>
        <v>15</v>
      </c>
      <c r="D84" s="30">
        <f>IF(C84="","",'Imperial Calcs'!C80)</f>
        <v>4.0905063000000013</v>
      </c>
      <c r="E84" s="30">
        <f>IF(OR(C83=1,C83=""),"",IF('Imperial Data'!$B$2,'Imperial Calcs'!D80,'Imperial Calcs'!E80))</f>
        <v>1.0504466400000005</v>
      </c>
      <c r="F84" s="30">
        <f>IF(OR(C83=1,C83=""),"",IF('Imperial Data'!$B$2,'Imperial Calcs'!E80,'Imperial Calcs'!G80))</f>
        <v>409.05063000000013</v>
      </c>
      <c r="G84" s="30">
        <f>IF(OR(C83=1,C83=""),"",IF('Imperial Data'!$B$2,'Imperial Calcs'!F80,'Imperial Calcs'!J80))</f>
        <v>10.504466400000005</v>
      </c>
      <c r="H84" s="30">
        <f>IF(OR(C83=1,C83=""),"",IF('Imperial Data'!$B$2,'Imperial Calcs'!G80,'Imperial Calcs'!M80))</f>
        <v>45.511294773333248</v>
      </c>
      <c r="I84" s="30">
        <f>IF(C84="","",IF('Imperial Data'!$B$2,'Imperial Calcs'!J80,'Imperial Calcs'!Y80))</f>
        <v>465.06639117333339</v>
      </c>
      <c r="J84" s="30">
        <f>IF('Imperial Data'!$B$2,'Imperial Calcs'!M80,"")</f>
        <v>4725.3683521399998</v>
      </c>
      <c r="K84" s="30">
        <f>IF('Imperial Data'!$B$2,'Imperial Calcs'!Y80,"")</f>
        <v>101.25</v>
      </c>
      <c r="L84" s="37">
        <f>IF('Imperial Data'!$B$2,J84,H84)</f>
        <v>4725.3683521399998</v>
      </c>
      <c r="M84" s="112">
        <f>IF('Imperial Data'!$B$2,K84,I84)</f>
        <v>101.25</v>
      </c>
      <c r="O84" s="32">
        <f t="shared" ref="O84:O147" si="18">IF(M85="",IF(M84="","",$F$9),M84)</f>
        <v>101.25</v>
      </c>
      <c r="Q84" s="112">
        <f t="shared" ref="Q84:Q147" si="19">Q83-($U$11)</f>
        <v>1.2500000000000069</v>
      </c>
      <c r="R84" s="32">
        <f t="shared" si="13"/>
        <v>1.2500000000000069</v>
      </c>
      <c r="S84" s="32">
        <f t="shared" si="14"/>
        <v>5580.7966940803208</v>
      </c>
      <c r="U84" s="32">
        <f t="shared" si="16"/>
        <v>1</v>
      </c>
      <c r="W84" s="30" t="str" cm="1">
        <f t="array" ref="W84">IF($AO$21="INVERT",R84,IF(W83&gt;=$S$12,"",IF(R83="","",INDEX($R$18:$R$227,$U$17-ROWS($R$18:$R83)))))</f>
        <v/>
      </c>
      <c r="X84" s="30" t="str">
        <f t="shared" si="17"/>
        <v/>
      </c>
      <c r="Y84" s="30" t="str">
        <f>IF(Y83="","",IF($AO$21="TYP",IF(S83="","",INDEX($S$18:$S$227,$U$17-ROWS($S$18:$S83))),IF($AO$21="INVERT",S84,"")))</f>
        <v/>
      </c>
      <c r="Z84" s="75" t="str">
        <f t="shared" si="15"/>
        <v/>
      </c>
    </row>
    <row r="85" spans="1:26" x14ac:dyDescent="0.2">
      <c r="A85" s="32">
        <f t="shared" si="12"/>
        <v>85</v>
      </c>
      <c r="C85" s="35">
        <f>IF(OR(C84=1,C84=""),"",'Imperial Calcs'!B81)</f>
        <v>14</v>
      </c>
      <c r="D85" s="30">
        <f>IF(C85="","",'Imperial Calcs'!C81)</f>
        <v>4.1066937699999997</v>
      </c>
      <c r="E85" s="30">
        <f>IF(OR(C84=1,C84=""),"",IF('Imperial Data'!$B$2,'Imperial Calcs'!D81,'Imperial Calcs'!E81))</f>
        <v>1.0566544799999997</v>
      </c>
      <c r="F85" s="30">
        <f>IF(OR(C84=1,C84=""),"",IF('Imperial Data'!$B$2,'Imperial Calcs'!E81,'Imperial Calcs'!G81))</f>
        <v>410.66937699999994</v>
      </c>
      <c r="G85" s="30">
        <f>IF(OR(C84=1,C84=""),"",IF('Imperial Data'!$B$2,'Imperial Calcs'!F81,'Imperial Calcs'!J81))</f>
        <v>10.566544799999997</v>
      </c>
      <c r="H85" s="30">
        <f>IF(OR(C84=1,C84=""),"",IF('Imperial Data'!$B$2,'Imperial Calcs'!G81,'Imperial Calcs'!M81))</f>
        <v>44.838964613333339</v>
      </c>
      <c r="I85" s="30">
        <f>IF(C85="","",IF('Imperial Data'!$B$2,'Imperial Calcs'!J81,'Imperial Calcs'!Y81))</f>
        <v>466.07488641333327</v>
      </c>
      <c r="J85" s="30">
        <f>IF('Imperial Data'!$B$2,'Imperial Calcs'!M81,"")</f>
        <v>4260.3019609666662</v>
      </c>
      <c r="K85" s="30">
        <f>IF('Imperial Data'!$B$2,'Imperial Calcs'!Y81,"")</f>
        <v>101.16666666666667</v>
      </c>
      <c r="L85" s="37">
        <f>IF('Imperial Data'!$B$2,J85,H85)</f>
        <v>4260.3019609666662</v>
      </c>
      <c r="M85" s="112">
        <f>IF('Imperial Data'!$B$2,K85,I85)</f>
        <v>101.16666666666667</v>
      </c>
      <c r="O85" s="32">
        <f t="shared" si="18"/>
        <v>101.16666666666667</v>
      </c>
      <c r="Q85" s="112">
        <f t="shared" si="19"/>
        <v>1.1666666666666736</v>
      </c>
      <c r="R85" s="32">
        <f t="shared" si="13"/>
        <v>1.1666666666666736</v>
      </c>
      <c r="S85" s="32">
        <f t="shared" si="14"/>
        <v>5592.8986369593649</v>
      </c>
      <c r="U85" s="32">
        <f t="shared" si="16"/>
        <v>1</v>
      </c>
      <c r="W85" s="30" t="str" cm="1">
        <f t="array" ref="W85">IF($AO$21="INVERT",R85,IF(W84&gt;=$S$12,"",IF(R84="","",INDEX($R$18:$R$227,$U$17-ROWS($R$18:$R84)))))</f>
        <v/>
      </c>
      <c r="X85" s="30" t="str">
        <f t="shared" si="17"/>
        <v/>
      </c>
      <c r="Y85" s="30" t="str">
        <f>IF(Y84="","",IF($AO$21="TYP",IF(S84="","",INDEX($S$18:$S$227,$U$17-ROWS($S$18:$S84))),IF($AO$21="INVERT",S85,"")))</f>
        <v/>
      </c>
      <c r="Z85" s="75" t="str">
        <f t="shared" si="15"/>
        <v/>
      </c>
    </row>
    <row r="86" spans="1:26" x14ac:dyDescent="0.2">
      <c r="A86" s="32">
        <f t="shared" si="12"/>
        <v>86</v>
      </c>
      <c r="C86" s="35">
        <f>IF(OR(C85=1,C85=""),"",'Imperial Calcs'!B82)</f>
        <v>13</v>
      </c>
      <c r="D86" s="30">
        <f>IF(C86="","",'Imperial Calcs'!C82)</f>
        <v>4.1220993999999997</v>
      </c>
      <c r="E86" s="30">
        <f>IF(OR(C85=1,C85=""),"",IF('Imperial Data'!$B$2,'Imperial Calcs'!D82,'Imperial Calcs'!E82))</f>
        <v>1.07545979</v>
      </c>
      <c r="F86" s="30">
        <f>IF(OR(C85=1,C85=""),"",IF('Imperial Data'!$B$2,'Imperial Calcs'!E82,'Imperial Calcs'!G82))</f>
        <v>412.20993999999996</v>
      </c>
      <c r="G86" s="30">
        <f>IF(OR(C85=1,C85=""),"",IF('Imperial Data'!$B$2,'Imperial Calcs'!F82,'Imperial Calcs'!J82))</f>
        <v>10.7545979</v>
      </c>
      <c r="H86" s="30">
        <f>IF(OR(C85=1,C85=""),"",IF('Imperial Data'!$B$2,'Imperial Calcs'!G82,'Imperial Calcs'!M82))</f>
        <v>44.14751817333331</v>
      </c>
      <c r="I86" s="30">
        <f>IF(C86="","",IF('Imperial Data'!$B$2,'Imperial Calcs'!J82,'Imperial Calcs'!Y82))</f>
        <v>467.11205607333329</v>
      </c>
      <c r="J86" s="30">
        <f>IF('Imperial Data'!$B$2,'Imperial Calcs'!M82,"")</f>
        <v>3794.2270745533328</v>
      </c>
      <c r="K86" s="30">
        <f>IF('Imperial Data'!$B$2,'Imperial Calcs'!Y82,"")</f>
        <v>101.08333333333333</v>
      </c>
      <c r="L86" s="37">
        <f>IF('Imperial Data'!$B$2,J86,H86)</f>
        <v>3794.2270745533328</v>
      </c>
      <c r="M86" s="112">
        <f>IF('Imperial Data'!$B$2,K86,I86)</f>
        <v>101.08333333333333</v>
      </c>
      <c r="O86" s="32">
        <f t="shared" si="18"/>
        <v>101.08333333333333</v>
      </c>
      <c r="Q86" s="112">
        <f t="shared" si="19"/>
        <v>1.0833333333333404</v>
      </c>
      <c r="R86" s="32">
        <f t="shared" si="13"/>
        <v>1.0833333333333404</v>
      </c>
      <c r="S86" s="32">
        <f t="shared" si="14"/>
        <v>5605.3446728803192</v>
      </c>
      <c r="U86" s="32">
        <f t="shared" si="16"/>
        <v>1</v>
      </c>
      <c r="W86" s="30" t="str" cm="1">
        <f t="array" ref="W86">IF($AO$21="INVERT",R86,IF(W85&gt;=$S$12,"",IF(R85="","",INDEX($R$18:$R$227,$U$17-ROWS($R$18:$R85)))))</f>
        <v/>
      </c>
      <c r="X86" s="30" t="str">
        <f t="shared" si="17"/>
        <v/>
      </c>
      <c r="Y86" s="30" t="str">
        <f>IF(Y85="","",IF($AO$21="TYP",IF(S85="","",INDEX($S$18:$S$227,$U$17-ROWS($S$18:$S85))),IF($AO$21="INVERT",S86,"")))</f>
        <v/>
      </c>
      <c r="Z86" s="75" t="str">
        <f t="shared" si="15"/>
        <v/>
      </c>
    </row>
    <row r="87" spans="1:26" x14ac:dyDescent="0.2">
      <c r="A87" s="32">
        <f t="shared" si="12"/>
        <v>87</v>
      </c>
      <c r="C87" s="35">
        <f>IF(OR(C86=1,C86=""),"",'Imperial Calcs'!B83)</f>
        <v>12</v>
      </c>
      <c r="D87" s="30">
        <f>IF(C87="","",'Imperial Calcs'!C83)</f>
        <v>4.1365370299999995</v>
      </c>
      <c r="E87" s="30">
        <f>IF(OR(C86=1,C86=""),"",IF('Imperial Data'!$B$2,'Imperial Calcs'!D83,'Imperial Calcs'!E83))</f>
        <v>1.0827729100000001</v>
      </c>
      <c r="F87" s="30">
        <f>IF(OR(C86=1,C86=""),"",IF('Imperial Data'!$B$2,'Imperial Calcs'!E83,'Imperial Calcs'!G83))</f>
        <v>413.65370299999995</v>
      </c>
      <c r="G87" s="30">
        <f>IF(OR(C86=1,C86=""),"",IF('Imperial Data'!$B$2,'Imperial Calcs'!F83,'Imperial Calcs'!J83))</f>
        <v>10.827729100000001</v>
      </c>
      <c r="H87" s="30">
        <f>IF(OR(C86=1,C86=""),"",IF('Imperial Data'!$B$2,'Imperial Calcs'!G83,'Imperial Calcs'!M83))</f>
        <v>43.540760493333323</v>
      </c>
      <c r="I87" s="30">
        <f>IF(C87="","",IF('Imperial Data'!$B$2,'Imperial Calcs'!J83,'Imperial Calcs'!Y83))</f>
        <v>468.02219259333327</v>
      </c>
      <c r="J87" s="30">
        <f>IF('Imperial Data'!$B$2,'Imperial Calcs'!M83,"")</f>
        <v>3327.1150184799994</v>
      </c>
      <c r="K87" s="30">
        <f>IF('Imperial Data'!$B$2,'Imperial Calcs'!Y83,"")</f>
        <v>101</v>
      </c>
      <c r="L87" s="37">
        <f>IF('Imperial Data'!$B$2,J87,H87)</f>
        <v>3327.1150184799994</v>
      </c>
      <c r="M87" s="112">
        <f>IF('Imperial Data'!$B$2,K87,I87)</f>
        <v>101</v>
      </c>
      <c r="O87" s="32">
        <f t="shared" si="18"/>
        <v>101</v>
      </c>
      <c r="Q87" s="112">
        <f t="shared" si="19"/>
        <v>1.0000000000000071</v>
      </c>
      <c r="R87" s="32">
        <f t="shared" si="13"/>
        <v>1.0000000000000071</v>
      </c>
      <c r="S87" s="32">
        <f t="shared" si="14"/>
        <v>5616.2663111203192</v>
      </c>
      <c r="U87" s="32">
        <f t="shared" si="16"/>
        <v>1</v>
      </c>
      <c r="W87" s="30" t="str" cm="1">
        <f t="array" ref="W87">IF($AO$21="INVERT",R87,IF(W86&gt;=$S$12,"",IF(R86="","",INDEX($R$18:$R$227,$U$17-ROWS($R$18:$R86)))))</f>
        <v/>
      </c>
      <c r="X87" s="30" t="str">
        <f t="shared" si="17"/>
        <v/>
      </c>
      <c r="Y87" s="30" t="str">
        <f>IF(Y86="","",IF($AO$21="TYP",IF(S86="","",INDEX($S$18:$S$227,$U$17-ROWS($S$18:$S86))),IF($AO$21="INVERT",S87,"")))</f>
        <v/>
      </c>
      <c r="Z87" s="75" t="str">
        <f t="shared" si="15"/>
        <v/>
      </c>
    </row>
    <row r="88" spans="1:26" x14ac:dyDescent="0.2">
      <c r="A88" s="32">
        <f t="shared" si="12"/>
        <v>88</v>
      </c>
      <c r="C88" s="35">
        <f>IF(OR(C87=1,C87=""),"",'Imperial Calcs'!B84)</f>
        <v>11</v>
      </c>
      <c r="D88" s="30">
        <f>IF(C88="","",'Imperial Calcs'!C84)</f>
        <v>4.1499744100000004</v>
      </c>
      <c r="E88" s="30">
        <f>IF(OR(C87=1,C87=""),"",IF('Imperial Data'!$B$2,'Imperial Calcs'!D84,'Imperial Calcs'!E84))</f>
        <v>1.0881013100000001</v>
      </c>
      <c r="F88" s="30">
        <f>IF(OR(C87=1,C87=""),"",IF('Imperial Data'!$B$2,'Imperial Calcs'!E84,'Imperial Calcs'!G84))</f>
        <v>414.99744100000004</v>
      </c>
      <c r="G88" s="30">
        <f>IF(OR(C87=1,C87=""),"",IF('Imperial Data'!$B$2,'Imperial Calcs'!F84,'Imperial Calcs'!J84))</f>
        <v>10.881013100000001</v>
      </c>
      <c r="H88" s="30">
        <f>IF(OR(C87=1,C87=""),"",IF('Imperial Data'!$B$2,'Imperial Calcs'!G84,'Imperial Calcs'!M84))</f>
        <v>42.981951693333286</v>
      </c>
      <c r="I88" s="30">
        <f>IF(C88="","",IF('Imperial Data'!$B$2,'Imperial Calcs'!J84,'Imperial Calcs'!Y84))</f>
        <v>468.86040579333331</v>
      </c>
      <c r="J88" s="30">
        <f>IF('Imperial Data'!$B$2,'Imperial Calcs'!M84,"")</f>
        <v>2859.0928258866661</v>
      </c>
      <c r="K88" s="30">
        <f>IF('Imperial Data'!$B$2,'Imperial Calcs'!Y84,"")</f>
        <v>100.91666666666667</v>
      </c>
      <c r="L88" s="37">
        <f>IF('Imperial Data'!$B$2,J88,H88)</f>
        <v>2859.0928258866661</v>
      </c>
      <c r="M88" s="112">
        <f>IF('Imperial Data'!$B$2,K88,I88)</f>
        <v>100.91666666666667</v>
      </c>
      <c r="O88" s="32">
        <f t="shared" si="18"/>
        <v>100.91666666666667</v>
      </c>
      <c r="Q88" s="112">
        <f t="shared" si="19"/>
        <v>0.91666666666667374</v>
      </c>
      <c r="R88" s="32">
        <f t="shared" si="13"/>
        <v>0.91666666666667374</v>
      </c>
      <c r="S88" s="32">
        <f t="shared" si="14"/>
        <v>5626.3248695193624</v>
      </c>
      <c r="U88" s="32">
        <f t="shared" si="16"/>
        <v>1</v>
      </c>
      <c r="W88" s="30" t="str" cm="1">
        <f t="array" ref="W88">IF($AO$21="INVERT",R88,IF(W87&gt;=$S$12,"",IF(R87="","",INDEX($R$18:$R$227,$U$17-ROWS($R$18:$R87)))))</f>
        <v/>
      </c>
      <c r="X88" s="30" t="str">
        <f t="shared" si="17"/>
        <v/>
      </c>
      <c r="Y88" s="30" t="str">
        <f>IF(Y87="","",IF($AO$21="TYP",IF(S87="","",INDEX($S$18:$S$227,$U$17-ROWS($S$18:$S87))),IF($AO$21="INVERT",S88,"")))</f>
        <v/>
      </c>
      <c r="Z88" s="75" t="str">
        <f t="shared" si="15"/>
        <v/>
      </c>
    </row>
    <row r="89" spans="1:26" x14ac:dyDescent="0.2">
      <c r="A89" s="32">
        <f t="shared" si="12"/>
        <v>89</v>
      </c>
      <c r="C89" s="35">
        <f>IF(OR(C88=1,C88=""),"",'Imperial Calcs'!B85)</f>
        <v>10</v>
      </c>
      <c r="D89" s="30">
        <f>IF(C89="","",'Imperial Calcs'!C85)</f>
        <v>4.1710139799999997</v>
      </c>
      <c r="E89" s="30">
        <f>IF(OR(C88=1,C88=""),"",IF('Imperial Data'!$B$2,'Imperial Calcs'!D85,'Imperial Calcs'!E85))</f>
        <v>1.10637466</v>
      </c>
      <c r="F89" s="30">
        <f>IF(OR(C88=1,C88=""),"",IF('Imperial Data'!$B$2,'Imperial Calcs'!E85,'Imperial Calcs'!G85))</f>
        <v>417.10139799999996</v>
      </c>
      <c r="G89" s="30">
        <f>IF(OR(C88=1,C88=""),"",IF('Imperial Data'!$B$2,'Imperial Calcs'!F85,'Imperial Calcs'!J85))</f>
        <v>11.0637466</v>
      </c>
      <c r="H89" s="30">
        <f>IF(OR(C88=1,C88=""),"",IF('Imperial Data'!$B$2,'Imperial Calcs'!G85,'Imperial Calcs'!M85))</f>
        <v>42.06727549333332</v>
      </c>
      <c r="I89" s="30">
        <f>IF(C89="","",IF('Imperial Data'!$B$2,'Imperial Calcs'!J85,'Imperial Calcs'!Y85))</f>
        <v>470.2324200933333</v>
      </c>
      <c r="J89" s="30">
        <f>IF('Imperial Data'!$B$2,'Imperial Calcs'!M85,"")</f>
        <v>2390.2324200933326</v>
      </c>
      <c r="K89" s="30">
        <f>IF('Imperial Data'!$B$2,'Imperial Calcs'!Y85,"")</f>
        <v>100.83333333333333</v>
      </c>
      <c r="L89" s="37">
        <f>IF('Imperial Data'!$B$2,J89,H89)</f>
        <v>2390.2324200933326</v>
      </c>
      <c r="M89" s="112">
        <f>IF('Imperial Data'!$B$2,K89,I89)</f>
        <v>100.83333333333333</v>
      </c>
      <c r="O89" s="32">
        <f t="shared" si="18"/>
        <v>100.83333333333333</v>
      </c>
      <c r="Q89" s="112">
        <f t="shared" si="19"/>
        <v>0.83333333333334036</v>
      </c>
      <c r="R89" s="32">
        <f t="shared" si="13"/>
        <v>0.83333333333334036</v>
      </c>
      <c r="S89" s="32">
        <f t="shared" si="14"/>
        <v>5642.789041120318</v>
      </c>
      <c r="U89" s="32">
        <f t="shared" si="16"/>
        <v>1</v>
      </c>
      <c r="W89" s="30" t="str" cm="1">
        <f t="array" ref="W89">IF($AO$21="INVERT",R89,IF(W88&gt;=$S$12,"",IF(R88="","",INDEX($R$18:$R$227,$U$17-ROWS($R$18:$R88)))))</f>
        <v/>
      </c>
      <c r="X89" s="30" t="str">
        <f t="shared" si="17"/>
        <v/>
      </c>
      <c r="Y89" s="30" t="str">
        <f>IF(Y88="","",IF($AO$21="TYP",IF(S88="","",INDEX($S$18:$S$227,$U$17-ROWS($S$18:$S88))),IF($AO$21="INVERT",S89,"")))</f>
        <v/>
      </c>
      <c r="Z89" s="75" t="str">
        <f t="shared" si="15"/>
        <v/>
      </c>
    </row>
    <row r="90" spans="1:26" x14ac:dyDescent="0.2">
      <c r="A90" s="32">
        <f t="shared" si="12"/>
        <v>90</v>
      </c>
      <c r="C90" s="35">
        <f>IF(OR(C89=1,C89=""),"",'Imperial Calcs'!B86)</f>
        <v>9</v>
      </c>
      <c r="D90" s="30">
        <f>IF(C90="","",'Imperial Calcs'!C86)</f>
        <v>0</v>
      </c>
      <c r="E90" s="30">
        <f>IF(OR(C89=1,C89=""),"",IF('Imperial Data'!$B$2,'Imperial Calcs'!D86,'Imperial Calcs'!E86))</f>
        <v>0</v>
      </c>
      <c r="F90" s="30">
        <f>IF(OR(C89=1,C89=""),"",IF('Imperial Data'!$B$2,'Imperial Calcs'!E86,'Imperial Calcs'!G86))</f>
        <v>0</v>
      </c>
      <c r="G90" s="30">
        <f>IF(OR(C89=1,C89=""),"",IF('Imperial Data'!$B$2,'Imperial Calcs'!F86,'Imperial Calcs'!J86))</f>
        <v>0</v>
      </c>
      <c r="H90" s="30">
        <f>IF(OR(C89=1,C89=""),"",IF('Imperial Data'!$B$2,'Imperial Calcs'!G86,'Imperial Calcs'!M86))</f>
        <v>213.33333333333331</v>
      </c>
      <c r="I90" s="30">
        <f>IF(C90="","",IF('Imperial Data'!$B$2,'Imperial Calcs'!J86,'Imperial Calcs'!Y86))</f>
        <v>213.33333333333331</v>
      </c>
      <c r="J90" s="30">
        <f>IF('Imperial Data'!$B$2,'Imperial Calcs'!M86,"")</f>
        <v>1919.9999999999995</v>
      </c>
      <c r="K90" s="30">
        <f>IF('Imperial Data'!$B$2,'Imperial Calcs'!Y86,"")</f>
        <v>100.75</v>
      </c>
      <c r="L90" s="37">
        <f>IF('Imperial Data'!$B$2,J90,H90)</f>
        <v>1919.9999999999995</v>
      </c>
      <c r="M90" s="112">
        <f>IF('Imperial Data'!$B$2,K90,I90)</f>
        <v>100.75</v>
      </c>
      <c r="O90" s="32">
        <f t="shared" si="18"/>
        <v>100.75</v>
      </c>
      <c r="Q90" s="112">
        <f t="shared" si="19"/>
        <v>0.75000000000000699</v>
      </c>
      <c r="R90" s="32">
        <f t="shared" si="13"/>
        <v>0.75000000000000699</v>
      </c>
      <c r="S90" s="32">
        <f t="shared" si="14"/>
        <v>2560.0000000001446</v>
      </c>
      <c r="U90" s="32">
        <f t="shared" si="16"/>
        <v>1</v>
      </c>
      <c r="W90" s="30" t="str" cm="1">
        <f t="array" ref="W90">IF($AO$21="INVERT",R90,IF(W89&gt;=$S$12,"",IF(R89="","",INDEX($R$18:$R$227,$U$17-ROWS($R$18:$R89)))))</f>
        <v/>
      </c>
      <c r="X90" s="30" t="str">
        <f t="shared" si="17"/>
        <v/>
      </c>
      <c r="Y90" s="30" t="str">
        <f>IF(Y89="","",IF($AO$21="TYP",IF(S89="","",INDEX($S$18:$S$227,$U$17-ROWS($S$18:$S89))),IF($AO$21="INVERT",S90,"")))</f>
        <v/>
      </c>
      <c r="Z90" s="75" t="str">
        <f t="shared" si="15"/>
        <v/>
      </c>
    </row>
    <row r="91" spans="1:26" x14ac:dyDescent="0.2">
      <c r="A91" s="32">
        <f t="shared" si="12"/>
        <v>91</v>
      </c>
      <c r="C91" s="35">
        <f>IF(OR(C90=1,C90=""),"",'Imperial Calcs'!B87)</f>
        <v>8</v>
      </c>
      <c r="D91" s="30">
        <f>IF(C91="","",'Imperial Calcs'!C87)</f>
        <v>0</v>
      </c>
      <c r="E91" s="30">
        <f>IF(OR(C90=1,C90=""),"",IF('Imperial Data'!$B$2,'Imperial Calcs'!D87,'Imperial Calcs'!E87))</f>
        <v>0</v>
      </c>
      <c r="F91" s="30">
        <f>IF(OR(C90=1,C90=""),"",IF('Imperial Data'!$B$2,'Imperial Calcs'!E87,'Imperial Calcs'!G87))</f>
        <v>0</v>
      </c>
      <c r="G91" s="30">
        <f>IF(OR(C90=1,C90=""),"",IF('Imperial Data'!$B$2,'Imperial Calcs'!F87,'Imperial Calcs'!J87))</f>
        <v>0</v>
      </c>
      <c r="H91" s="30">
        <f>IF(OR(C90=1,C90=""),"",IF('Imperial Data'!$B$2,'Imperial Calcs'!G87,'Imperial Calcs'!M87))</f>
        <v>213.33333333333331</v>
      </c>
      <c r="I91" s="30">
        <f>IF(C91="","",IF('Imperial Data'!$B$2,'Imperial Calcs'!J87,'Imperial Calcs'!Y87))</f>
        <v>213.33333333333331</v>
      </c>
      <c r="J91" s="30">
        <f>IF('Imperial Data'!$B$2,'Imperial Calcs'!M87,"")</f>
        <v>1706.6666666666663</v>
      </c>
      <c r="K91" s="30">
        <f>IF('Imperial Data'!$B$2,'Imperial Calcs'!Y87,"")</f>
        <v>100.66666666666667</v>
      </c>
      <c r="L91" s="37">
        <f>IF('Imperial Data'!$B$2,J91,H91)</f>
        <v>1706.6666666666663</v>
      </c>
      <c r="M91" s="112">
        <f>IF('Imperial Data'!$B$2,K91,I91)</f>
        <v>100.66666666666667</v>
      </c>
      <c r="O91" s="32">
        <f t="shared" si="18"/>
        <v>100.66666666666667</v>
      </c>
      <c r="Q91" s="112">
        <f t="shared" si="19"/>
        <v>0.66666666666667362</v>
      </c>
      <c r="R91" s="32">
        <f t="shared" si="13"/>
        <v>0.66666666666667362</v>
      </c>
      <c r="S91" s="32">
        <f t="shared" si="14"/>
        <v>2559.9999999997081</v>
      </c>
      <c r="U91" s="32">
        <f t="shared" si="16"/>
        <v>1</v>
      </c>
      <c r="W91" s="30" t="str" cm="1">
        <f t="array" ref="W91">IF($AO$21="INVERT",R91,IF(W90&gt;=$S$12,"",IF(R90="","",INDEX($R$18:$R$227,$U$17-ROWS($R$18:$R90)))))</f>
        <v/>
      </c>
      <c r="X91" s="30" t="str">
        <f t="shared" si="17"/>
        <v/>
      </c>
      <c r="Y91" s="30" t="str">
        <f>IF(Y90="","",IF($AO$21="TYP",IF(S90="","",INDEX($S$18:$S$227,$U$17-ROWS($S$18:$S90))),IF($AO$21="INVERT",S91,"")))</f>
        <v/>
      </c>
      <c r="Z91" s="75" t="str">
        <f t="shared" si="15"/>
        <v/>
      </c>
    </row>
    <row r="92" spans="1:26" x14ac:dyDescent="0.2">
      <c r="A92" s="32">
        <f t="shared" si="12"/>
        <v>92</v>
      </c>
      <c r="C92" s="35">
        <f>IF(OR(C91=1,C91=""),"",'Imperial Calcs'!B88)</f>
        <v>7</v>
      </c>
      <c r="D92" s="30">
        <f>IF(C92="","",'Imperial Calcs'!C88)</f>
        <v>0</v>
      </c>
      <c r="E92" s="30">
        <f>IF(OR(C91=1,C91=""),"",IF('Imperial Data'!$B$2,'Imperial Calcs'!D88,'Imperial Calcs'!E88))</f>
        <v>0</v>
      </c>
      <c r="F92" s="30">
        <f>IF(OR(C91=1,C91=""),"",IF('Imperial Data'!$B$2,'Imperial Calcs'!E88,'Imperial Calcs'!G88))</f>
        <v>0</v>
      </c>
      <c r="G92" s="30">
        <f>IF(OR(C91=1,C91=""),"",IF('Imperial Data'!$B$2,'Imperial Calcs'!F88,'Imperial Calcs'!J88))</f>
        <v>0</v>
      </c>
      <c r="H92" s="30">
        <f>IF(OR(C91=1,C91=""),"",IF('Imperial Data'!$B$2,'Imperial Calcs'!G88,'Imperial Calcs'!M88))</f>
        <v>213.33333333333331</v>
      </c>
      <c r="I92" s="30">
        <f>IF(C92="","",IF('Imperial Data'!$B$2,'Imperial Calcs'!J88,'Imperial Calcs'!Y88))</f>
        <v>213.33333333333331</v>
      </c>
      <c r="J92" s="30">
        <f>IF('Imperial Data'!$B$2,'Imperial Calcs'!M88,"")</f>
        <v>1493.333333333333</v>
      </c>
      <c r="K92" s="30">
        <f>IF('Imperial Data'!$B$2,'Imperial Calcs'!Y88,"")</f>
        <v>100.58333333333333</v>
      </c>
      <c r="L92" s="37">
        <f>IF('Imperial Data'!$B$2,J92,H92)</f>
        <v>1493.333333333333</v>
      </c>
      <c r="M92" s="112">
        <f>IF('Imperial Data'!$B$2,K92,I92)</f>
        <v>100.58333333333333</v>
      </c>
      <c r="O92" s="32">
        <f t="shared" si="18"/>
        <v>100.58333333333333</v>
      </c>
      <c r="Q92" s="112">
        <f t="shared" si="19"/>
        <v>0.58333333333334025</v>
      </c>
      <c r="R92" s="32">
        <f t="shared" si="13"/>
        <v>0.58333333333334025</v>
      </c>
      <c r="S92" s="32">
        <f t="shared" si="14"/>
        <v>2560.0000000001446</v>
      </c>
      <c r="U92" s="32">
        <f t="shared" si="16"/>
        <v>1</v>
      </c>
      <c r="W92" s="30" t="str" cm="1">
        <f t="array" ref="W92">IF($AO$21="INVERT",R92,IF(W91&gt;=$S$12,"",IF(R91="","",INDEX($R$18:$R$227,$U$17-ROWS($R$18:$R91)))))</f>
        <v/>
      </c>
      <c r="X92" s="30" t="str">
        <f t="shared" si="17"/>
        <v/>
      </c>
      <c r="Y92" s="30" t="str">
        <f>IF(Y91="","",IF($AO$21="TYP",IF(S91="","",INDEX($S$18:$S$227,$U$17-ROWS($S$18:$S91))),IF($AO$21="INVERT",S92,"")))</f>
        <v/>
      </c>
      <c r="Z92" s="75" t="str">
        <f t="shared" si="15"/>
        <v/>
      </c>
    </row>
    <row r="93" spans="1:26" x14ac:dyDescent="0.2">
      <c r="A93" s="32">
        <f t="shared" si="12"/>
        <v>93</v>
      </c>
      <c r="C93" s="35">
        <f>IF(OR(C92=1,C92=""),"",'Imperial Calcs'!B89)</f>
        <v>6</v>
      </c>
      <c r="D93" s="30">
        <f>IF(C93="","",'Imperial Calcs'!C89)</f>
        <v>0</v>
      </c>
      <c r="E93" s="30">
        <f>IF(OR(C92=1,C92=""),"",IF('Imperial Data'!$B$2,'Imperial Calcs'!D89,'Imperial Calcs'!E89))</f>
        <v>0</v>
      </c>
      <c r="F93" s="30">
        <f>IF(OR(C92=1,C92=""),"",IF('Imperial Data'!$B$2,'Imperial Calcs'!E89,'Imperial Calcs'!G89))</f>
        <v>0</v>
      </c>
      <c r="G93" s="30">
        <f>IF(OR(C92=1,C92=""),"",IF('Imperial Data'!$B$2,'Imperial Calcs'!F89,'Imperial Calcs'!J89))</f>
        <v>0</v>
      </c>
      <c r="H93" s="30">
        <f>IF(OR(C92=1,C92=""),"",IF('Imperial Data'!$B$2,'Imperial Calcs'!G89,'Imperial Calcs'!M89))</f>
        <v>213.33333333333331</v>
      </c>
      <c r="I93" s="30">
        <f>IF(C93="","",IF('Imperial Data'!$B$2,'Imperial Calcs'!J89,'Imperial Calcs'!Y89))</f>
        <v>213.33333333333331</v>
      </c>
      <c r="J93" s="30">
        <f>IF('Imperial Data'!$B$2,'Imperial Calcs'!M89,"")</f>
        <v>1279.9999999999998</v>
      </c>
      <c r="K93" s="30">
        <f>IF('Imperial Data'!$B$2,'Imperial Calcs'!Y89,"")</f>
        <v>100.5</v>
      </c>
      <c r="L93" s="37">
        <f>IF('Imperial Data'!$B$2,J93,H93)</f>
        <v>1279.9999999999998</v>
      </c>
      <c r="M93" s="112">
        <f>IF('Imperial Data'!$B$2,K93,I93)</f>
        <v>100.5</v>
      </c>
      <c r="O93" s="32">
        <f t="shared" si="18"/>
        <v>100.5</v>
      </c>
      <c r="Q93" s="112">
        <f t="shared" si="19"/>
        <v>0.50000000000000688</v>
      </c>
      <c r="R93" s="32">
        <f t="shared" si="13"/>
        <v>0.50000000000000688</v>
      </c>
      <c r="S93" s="32">
        <f t="shared" si="14"/>
        <v>2560.0000000001446</v>
      </c>
      <c r="U93" s="32">
        <f t="shared" si="16"/>
        <v>1</v>
      </c>
      <c r="W93" s="30" t="str" cm="1">
        <f t="array" ref="W93">IF($AO$21="INVERT",R93,IF(W92&gt;=$S$12,"",IF(R92="","",INDEX($R$18:$R$227,$U$17-ROWS($R$18:$R92)))))</f>
        <v/>
      </c>
      <c r="X93" s="30" t="str">
        <f t="shared" si="17"/>
        <v/>
      </c>
      <c r="Y93" s="30" t="str">
        <f>IF(Y92="","",IF($AO$21="TYP",IF(S92="","",INDEX($S$18:$S$227,$U$17-ROWS($S$18:$S92))),IF($AO$21="INVERT",S93,"")))</f>
        <v/>
      </c>
      <c r="Z93" s="75" t="str">
        <f t="shared" si="15"/>
        <v/>
      </c>
    </row>
    <row r="94" spans="1:26" x14ac:dyDescent="0.2">
      <c r="A94" s="32">
        <f t="shared" si="12"/>
        <v>94</v>
      </c>
      <c r="C94" s="35">
        <f>IF(OR(C93=1,C93=""),"",'Imperial Calcs'!B90)</f>
        <v>5</v>
      </c>
      <c r="D94" s="30">
        <f>IF(C94="","",'Imperial Calcs'!C90)</f>
        <v>0</v>
      </c>
      <c r="E94" s="30">
        <f>IF(OR(C93=1,C93=""),"",IF('Imperial Data'!$B$2,'Imperial Calcs'!D90,'Imperial Calcs'!E90))</f>
        <v>0</v>
      </c>
      <c r="F94" s="30">
        <f>IF(OR(C93=1,C93=""),"",IF('Imperial Data'!$B$2,'Imperial Calcs'!E90,'Imperial Calcs'!G90))</f>
        <v>0</v>
      </c>
      <c r="G94" s="30">
        <f>IF(OR(C93=1,C93=""),"",IF('Imperial Data'!$B$2,'Imperial Calcs'!F90,'Imperial Calcs'!J90))</f>
        <v>0</v>
      </c>
      <c r="H94" s="30">
        <f>IF(OR(C93=1,C93=""),"",IF('Imperial Data'!$B$2,'Imperial Calcs'!G90,'Imperial Calcs'!M90))</f>
        <v>213.33333333333331</v>
      </c>
      <c r="I94" s="30">
        <f>IF(C94="","",IF('Imperial Data'!$B$2,'Imperial Calcs'!J90,'Imperial Calcs'!Y90))</f>
        <v>213.33333333333331</v>
      </c>
      <c r="J94" s="30">
        <f>IF('Imperial Data'!$B$2,'Imperial Calcs'!M90,"")</f>
        <v>1066.6666666666665</v>
      </c>
      <c r="K94" s="30">
        <f>IF('Imperial Data'!$B$2,'Imperial Calcs'!Y90,"")</f>
        <v>100.41666666666667</v>
      </c>
      <c r="L94" s="37">
        <f>IF('Imperial Data'!$B$2,J94,H94)</f>
        <v>1066.6666666666665</v>
      </c>
      <c r="M94" s="112">
        <f>IF('Imperial Data'!$B$2,K94,I94)</f>
        <v>100.41666666666667</v>
      </c>
      <c r="O94" s="32">
        <f t="shared" si="18"/>
        <v>100.41666666666667</v>
      </c>
      <c r="Q94" s="112">
        <f t="shared" si="19"/>
        <v>0.41666666666667357</v>
      </c>
      <c r="R94" s="32">
        <f t="shared" si="13"/>
        <v>0.41666666666667357</v>
      </c>
      <c r="S94" s="32">
        <f t="shared" si="14"/>
        <v>2559.9999999997081</v>
      </c>
      <c r="U94" s="32">
        <f t="shared" si="16"/>
        <v>1</v>
      </c>
      <c r="W94" s="30" t="str" cm="1">
        <f t="array" ref="W94">IF($AO$21="INVERT",R94,IF(W93&gt;=$S$12,"",IF(R93="","",INDEX($R$18:$R$227,$U$17-ROWS($R$18:$R93)))))</f>
        <v/>
      </c>
      <c r="X94" s="30" t="str">
        <f t="shared" si="17"/>
        <v/>
      </c>
      <c r="Y94" s="30" t="str">
        <f>IF(Y93="","",IF($AO$21="TYP",IF(S93="","",INDEX($S$18:$S$227,$U$17-ROWS($S$18:$S93))),IF($AO$21="INVERT",S94,"")))</f>
        <v/>
      </c>
      <c r="Z94" s="75" t="str">
        <f t="shared" si="15"/>
        <v/>
      </c>
    </row>
    <row r="95" spans="1:26" x14ac:dyDescent="0.2">
      <c r="A95" s="32">
        <f t="shared" si="12"/>
        <v>95</v>
      </c>
      <c r="C95" s="35">
        <f>IF(OR(C94=1,C94=""),"",'Imperial Calcs'!B91)</f>
        <v>4</v>
      </c>
      <c r="D95" s="30">
        <f>IF(C95="","",'Imperial Calcs'!C91)</f>
        <v>0</v>
      </c>
      <c r="E95" s="30">
        <f>IF(OR(C94=1,C94=""),"",IF('Imperial Data'!$B$2,'Imperial Calcs'!D91,'Imperial Calcs'!E91))</f>
        <v>0</v>
      </c>
      <c r="F95" s="30">
        <f>IF(OR(C94=1,C94=""),"",IF('Imperial Data'!$B$2,'Imperial Calcs'!E91,'Imperial Calcs'!G91))</f>
        <v>0</v>
      </c>
      <c r="G95" s="30">
        <f>IF(OR(C94=1,C94=""),"",IF('Imperial Data'!$B$2,'Imperial Calcs'!F91,'Imperial Calcs'!J91))</f>
        <v>0</v>
      </c>
      <c r="H95" s="30">
        <f>IF(OR(C94=1,C94=""),"",IF('Imperial Data'!$B$2,'Imperial Calcs'!G91,'Imperial Calcs'!M91))</f>
        <v>213.33333333333331</v>
      </c>
      <c r="I95" s="30">
        <f>IF(C95="","",IF('Imperial Data'!$B$2,'Imperial Calcs'!J91,'Imperial Calcs'!Y91))</f>
        <v>213.33333333333331</v>
      </c>
      <c r="J95" s="30">
        <f>IF('Imperial Data'!$B$2,'Imperial Calcs'!M91,"")</f>
        <v>853.33333333333326</v>
      </c>
      <c r="K95" s="30">
        <f>IF('Imperial Data'!$B$2,'Imperial Calcs'!Y91,"")</f>
        <v>100.33333333333333</v>
      </c>
      <c r="L95" s="37">
        <f>IF('Imperial Data'!$B$2,J95,H95)</f>
        <v>853.33333333333326</v>
      </c>
      <c r="M95" s="112">
        <f>IF('Imperial Data'!$B$2,K95,I95)</f>
        <v>100.33333333333333</v>
      </c>
      <c r="O95" s="32">
        <f t="shared" si="18"/>
        <v>100.33333333333333</v>
      </c>
      <c r="Q95" s="112">
        <f t="shared" si="19"/>
        <v>0.33333333333334025</v>
      </c>
      <c r="R95" s="32">
        <f t="shared" si="13"/>
        <v>0.33333333333334025</v>
      </c>
      <c r="S95" s="32">
        <f t="shared" si="14"/>
        <v>2560.0000000001446</v>
      </c>
      <c r="U95" s="32">
        <f t="shared" si="16"/>
        <v>1</v>
      </c>
      <c r="W95" s="30" t="str" cm="1">
        <f t="array" ref="W95">IF($AO$21="INVERT",R95,IF(W94&gt;=$S$12,"",IF(R94="","",INDEX($R$18:$R$227,$U$17-ROWS($R$18:$R94)))))</f>
        <v/>
      </c>
      <c r="X95" s="30" t="str">
        <f t="shared" si="17"/>
        <v/>
      </c>
      <c r="Y95" s="30" t="str">
        <f>IF(Y94="","",IF($AO$21="TYP",IF(S94="","",INDEX($S$18:$S$227,$U$17-ROWS($S$18:$S94))),IF($AO$21="INVERT",S95,"")))</f>
        <v/>
      </c>
      <c r="Z95" s="75" t="str">
        <f t="shared" si="15"/>
        <v/>
      </c>
    </row>
    <row r="96" spans="1:26" x14ac:dyDescent="0.2">
      <c r="A96" s="32">
        <f t="shared" si="12"/>
        <v>96</v>
      </c>
      <c r="C96" s="35">
        <f>IF(OR(C95=1,C95=""),"",'Imperial Calcs'!B92)</f>
        <v>3</v>
      </c>
      <c r="D96" s="30">
        <f>IF(C96="","",'Imperial Calcs'!C92)</f>
        <v>0</v>
      </c>
      <c r="E96" s="30">
        <f>IF(OR(C95=1,C95=""),"",IF('Imperial Data'!$B$2,'Imperial Calcs'!D92,'Imperial Calcs'!E92))</f>
        <v>0</v>
      </c>
      <c r="F96" s="30">
        <f>IF(OR(C95=1,C95=""),"",IF('Imperial Data'!$B$2,'Imperial Calcs'!E92,'Imperial Calcs'!G92))</f>
        <v>0</v>
      </c>
      <c r="G96" s="30">
        <f>IF(OR(C95=1,C95=""),"",IF('Imperial Data'!$B$2,'Imperial Calcs'!F92,'Imperial Calcs'!J92))</f>
        <v>0</v>
      </c>
      <c r="H96" s="30">
        <f>IF(OR(C95=1,C95=""),"",IF('Imperial Data'!$B$2,'Imperial Calcs'!G92,'Imperial Calcs'!M92))</f>
        <v>213.33333333333331</v>
      </c>
      <c r="I96" s="30">
        <f>IF(C96="","",IF('Imperial Data'!$B$2,'Imperial Calcs'!J92,'Imperial Calcs'!Y92))</f>
        <v>213.33333333333331</v>
      </c>
      <c r="J96" s="30">
        <f>IF('Imperial Data'!$B$2,'Imperial Calcs'!M92,"")</f>
        <v>640</v>
      </c>
      <c r="K96" s="30">
        <f>IF('Imperial Data'!$B$2,'Imperial Calcs'!Y92,"")</f>
        <v>100.25</v>
      </c>
      <c r="L96" s="37">
        <f>IF('Imperial Data'!$B$2,J96,H96)</f>
        <v>640</v>
      </c>
      <c r="M96" s="112">
        <f>IF('Imperial Data'!$B$2,K96,I96)</f>
        <v>100.25</v>
      </c>
      <c r="O96" s="32">
        <f t="shared" si="18"/>
        <v>100.25</v>
      </c>
      <c r="Q96" s="112">
        <f t="shared" si="19"/>
        <v>0.25000000000000694</v>
      </c>
      <c r="R96" s="32">
        <f t="shared" si="13"/>
        <v>0.25000000000000694</v>
      </c>
      <c r="S96" s="32">
        <f t="shared" si="14"/>
        <v>2560.000000000146</v>
      </c>
      <c r="U96" s="32">
        <f t="shared" si="16"/>
        <v>1</v>
      </c>
      <c r="W96" s="30" t="str" cm="1">
        <f t="array" ref="W96">IF($AO$21="INVERT",R96,IF(W95&gt;=$S$12,"",IF(R95="","",INDEX($R$18:$R$227,$U$17-ROWS($R$18:$R95)))))</f>
        <v/>
      </c>
      <c r="X96" s="30" t="str">
        <f t="shared" si="17"/>
        <v/>
      </c>
      <c r="Y96" s="30" t="str">
        <f>IF(Y95="","",IF($AO$21="TYP",IF(S95="","",INDEX($S$18:$S$227,$U$17-ROWS($S$18:$S95))),IF($AO$21="INVERT",S96,"")))</f>
        <v/>
      </c>
      <c r="Z96" s="75" t="str">
        <f t="shared" si="15"/>
        <v/>
      </c>
    </row>
    <row r="97" spans="1:26" x14ac:dyDescent="0.2">
      <c r="A97" s="32">
        <f t="shared" si="12"/>
        <v>97</v>
      </c>
      <c r="C97" s="35">
        <f>IF(OR(C96=1,C96=""),"",'Imperial Calcs'!B93)</f>
        <v>2</v>
      </c>
      <c r="D97" s="30">
        <f>IF(C97="","",'Imperial Calcs'!C93)</f>
        <v>0</v>
      </c>
      <c r="E97" s="30">
        <f>IF(OR(C96=1,C96=""),"",IF('Imperial Data'!$B$2,'Imperial Calcs'!D93,'Imperial Calcs'!E93))</f>
        <v>0</v>
      </c>
      <c r="F97" s="30">
        <f>IF(OR(C96=1,C96=""),"",IF('Imperial Data'!$B$2,'Imperial Calcs'!E93,'Imperial Calcs'!G93))</f>
        <v>0</v>
      </c>
      <c r="G97" s="30">
        <f>IF(OR(C96=1,C96=""),"",IF('Imperial Data'!$B$2,'Imperial Calcs'!F93,'Imperial Calcs'!J93))</f>
        <v>0</v>
      </c>
      <c r="H97" s="30">
        <f>IF(OR(C96=1,C96=""),"",IF('Imperial Data'!$B$2,'Imperial Calcs'!G93,'Imperial Calcs'!M93))</f>
        <v>213.33333333333331</v>
      </c>
      <c r="I97" s="30">
        <f>IF(C97="","",IF('Imperial Data'!$B$2,'Imperial Calcs'!J93,'Imperial Calcs'!Y93))</f>
        <v>213.33333333333331</v>
      </c>
      <c r="J97" s="30">
        <f>IF('Imperial Data'!$B$2,'Imperial Calcs'!M93,"")</f>
        <v>426.66666666666663</v>
      </c>
      <c r="K97" s="30">
        <f>IF('Imperial Data'!$B$2,'Imperial Calcs'!Y93,"")</f>
        <v>100.16666666666667</v>
      </c>
      <c r="L97" s="37">
        <f>IF('Imperial Data'!$B$2,J97,H97)</f>
        <v>426.66666666666663</v>
      </c>
      <c r="M97" s="112">
        <f>IF('Imperial Data'!$B$2,K97,I97)</f>
        <v>100.16666666666667</v>
      </c>
      <c r="O97" s="32">
        <f t="shared" si="18"/>
        <v>100.16666666666667</v>
      </c>
      <c r="Q97" s="112">
        <f t="shared" si="19"/>
        <v>0.16666666666667362</v>
      </c>
      <c r="R97" s="32">
        <f t="shared" si="13"/>
        <v>0.16666666666667362</v>
      </c>
      <c r="S97" s="32">
        <f t="shared" si="14"/>
        <v>2559.999999999709</v>
      </c>
      <c r="U97" s="32">
        <f t="shared" si="16"/>
        <v>1</v>
      </c>
      <c r="W97" s="30" t="str" cm="1">
        <f t="array" ref="W97">IF($AO$21="INVERT",R97,IF(W96&gt;=$S$12,"",IF(R96="","",INDEX($R$18:$R$227,$U$17-ROWS($R$18:$R96)))))</f>
        <v/>
      </c>
      <c r="X97" s="30" t="str">
        <f t="shared" si="17"/>
        <v/>
      </c>
      <c r="Y97" s="30" t="str">
        <f>IF(Y96="","",IF($AO$21="TYP",IF(S96="","",INDEX($S$18:$S$227,$U$17-ROWS($S$18:$S96))),IF($AO$21="INVERT",S97,"")))</f>
        <v/>
      </c>
      <c r="Z97" s="75" t="str">
        <f t="shared" si="15"/>
        <v/>
      </c>
    </row>
    <row r="98" spans="1:26" x14ac:dyDescent="0.2">
      <c r="A98" s="32">
        <f t="shared" si="12"/>
        <v>98</v>
      </c>
      <c r="C98" s="35">
        <f>IF(OR(C97=1,C97=""),"",'Imperial Calcs'!B94)</f>
        <v>1</v>
      </c>
      <c r="D98" s="30">
        <f>IF(C98="","",'Imperial Calcs'!C94)</f>
        <v>0</v>
      </c>
      <c r="E98" s="30">
        <f>IF(OR(C97=1,C97=""),"",IF('Imperial Data'!$B$2,'Imperial Calcs'!D94,'Imperial Calcs'!E94))</f>
        <v>0</v>
      </c>
      <c r="F98" s="30">
        <f>IF(OR(C97=1,C97=""),"",IF('Imperial Data'!$B$2,'Imperial Calcs'!E94,'Imperial Calcs'!G94))</f>
        <v>0</v>
      </c>
      <c r="G98" s="30">
        <f>IF(OR(C97=1,C97=""),"",IF('Imperial Data'!$B$2,'Imperial Calcs'!F94,'Imperial Calcs'!J94))</f>
        <v>0</v>
      </c>
      <c r="H98" s="30">
        <f>IF(OR(C97=1,C97=""),"",IF('Imperial Data'!$B$2,'Imperial Calcs'!G94,'Imperial Calcs'!M94))</f>
        <v>213.33333333333331</v>
      </c>
      <c r="I98" s="30">
        <f>IF(C98="","",IF('Imperial Data'!$B$2,'Imperial Calcs'!J94,'Imperial Calcs'!Y94))</f>
        <v>213.33333333333331</v>
      </c>
      <c r="J98" s="30">
        <f>IF('Imperial Data'!$B$2,'Imperial Calcs'!M94,"")</f>
        <v>213.33333333333331</v>
      </c>
      <c r="K98" s="30">
        <f>IF('Imperial Data'!$B$2,'Imperial Calcs'!Y94,"")</f>
        <v>100.08333333333333</v>
      </c>
      <c r="L98" s="37">
        <f>IF('Imperial Data'!$B$2,J98,H98)</f>
        <v>213.33333333333331</v>
      </c>
      <c r="M98" s="112">
        <f>IF('Imperial Data'!$B$2,K98,I98)</f>
        <v>100.08333333333333</v>
      </c>
      <c r="O98" s="32">
        <f t="shared" si="18"/>
        <v>100</v>
      </c>
      <c r="Q98" s="112">
        <f t="shared" si="19"/>
        <v>8.3333333333340295E-2</v>
      </c>
      <c r="R98" s="32">
        <f t="shared" si="13"/>
        <v>8.3333333333340295E-2</v>
      </c>
      <c r="S98" s="32">
        <f t="shared" si="14"/>
        <v>2559.999999999709</v>
      </c>
      <c r="U98" s="32">
        <f t="shared" si="16"/>
        <v>1</v>
      </c>
      <c r="W98" s="30" t="str" cm="1">
        <f t="array" ref="W98">IF($AO$21="INVERT",R98,IF(W97&gt;=$S$12,"",IF(R97="","",INDEX($R$18:$R$227,$U$17-ROWS($R$18:$R97)))))</f>
        <v/>
      </c>
      <c r="X98" s="30" t="str">
        <f t="shared" si="17"/>
        <v/>
      </c>
      <c r="Y98" s="30" t="str">
        <f>IF(Y97="","",IF($AO$21="TYP",IF(S97="","",INDEX($S$18:$S$227,$U$17-ROWS($S$18:$S97))),IF($AO$21="INVERT",S98,"")))</f>
        <v/>
      </c>
      <c r="Z98" s="75" t="str">
        <f t="shared" si="15"/>
        <v/>
      </c>
    </row>
    <row r="99" spans="1:26" x14ac:dyDescent="0.2">
      <c r="A99" s="32" t="str">
        <f t="shared" si="12"/>
        <v/>
      </c>
      <c r="C99" s="35" t="str">
        <f>IF(OR(C98=1,C98=""),"",'Imperial Calcs'!B95)</f>
        <v/>
      </c>
      <c r="D99" s="30" t="str">
        <f>IF(C99="","",'Imperial Calcs'!C95)</f>
        <v/>
      </c>
      <c r="E99" s="30" t="str">
        <f>IF(OR(C98=1,C98=""),"",IF('Imperial Data'!$B$2,'Imperial Calcs'!D95,'Imperial Calcs'!E95))</f>
        <v/>
      </c>
      <c r="F99" s="30" t="str">
        <f>IF(OR(C98=1,C98=""),"",IF('Imperial Data'!$B$2,'Imperial Calcs'!E95,'Imperial Calcs'!G95))</f>
        <v/>
      </c>
      <c r="G99" s="30" t="str">
        <f>IF(OR(C98=1,C98=""),"",IF('Imperial Data'!$B$2,'Imperial Calcs'!F95,'Imperial Calcs'!J95))</f>
        <v/>
      </c>
      <c r="H99" s="30" t="str">
        <f>IF(OR(C98=1,C98=""),"",IF('Imperial Data'!$B$2,'Imperial Calcs'!G95,'Imperial Calcs'!M95))</f>
        <v/>
      </c>
      <c r="I99" s="30" t="str">
        <f>IF(C99="","",IF('Imperial Data'!$B$2,'Imperial Calcs'!J95,'Imperial Calcs'!Y95))</f>
        <v/>
      </c>
      <c r="J99" s="30" t="str">
        <f>IF('Imperial Data'!$B$2,'Imperial Calcs'!M95,"")</f>
        <v/>
      </c>
      <c r="K99" s="30" t="str">
        <f>IF('Imperial Data'!$B$2,'Imperial Calcs'!Y95,"")</f>
        <v/>
      </c>
      <c r="L99" s="37" t="str">
        <f>IF('Imperial Data'!$B$2,J99,H99)</f>
        <v/>
      </c>
      <c r="M99" s="112" t="str">
        <f>IF('Imperial Data'!$B$2,K99,I99)</f>
        <v/>
      </c>
      <c r="O99" s="32" t="str">
        <f>IF(M100="",IF(M99="","",$F$9),M99)</f>
        <v/>
      </c>
      <c r="Q99" s="112">
        <f t="shared" si="19"/>
        <v>6.9666494795228573E-15</v>
      </c>
      <c r="R99" s="32">
        <f t="shared" si="13"/>
        <v>0</v>
      </c>
      <c r="S99" s="32">
        <f t="shared" si="14"/>
        <v>2560</v>
      </c>
      <c r="U99" s="32">
        <f t="shared" si="16"/>
        <v>1</v>
      </c>
      <c r="W99" s="30" t="str" cm="1">
        <f t="array" ref="W99">IF($AO$21="INVERT",R99,IF(W98&gt;=$S$12,"",IF(R98="","",INDEX($R$18:$R$227,$U$17-ROWS($R$18:$R98)))))</f>
        <v/>
      </c>
      <c r="X99" s="30" t="str">
        <f t="shared" si="17"/>
        <v/>
      </c>
      <c r="Y99" s="30" t="str">
        <f>IF(Y98="","",IF($AO$21="TYP",IF(S98="","",INDEX($S$18:$S$227,$U$17-ROWS($S$18:$S98))),IF($AO$21="INVERT",S99,"")))</f>
        <v/>
      </c>
      <c r="Z99" s="75" t="str">
        <f t="shared" si="15"/>
        <v/>
      </c>
    </row>
    <row r="100" spans="1:26" x14ac:dyDescent="0.2">
      <c r="A100" s="32" t="str">
        <f t="shared" si="12"/>
        <v/>
      </c>
      <c r="C100" s="35" t="str">
        <f>IF(OR(C99=1,C99=""),"",'Imperial Calcs'!B96)</f>
        <v/>
      </c>
      <c r="D100" s="30" t="str">
        <f>IF(C100="","",'Imperial Calcs'!C96)</f>
        <v/>
      </c>
      <c r="E100" s="30" t="str">
        <f>IF(OR(C99=1,C99=""),"",IF('Imperial Data'!$B$2,'Imperial Calcs'!D96,'Imperial Calcs'!E96))</f>
        <v/>
      </c>
      <c r="F100" s="30" t="str">
        <f>IF(OR(C99=1,C99=""),"",IF('Imperial Data'!$B$2,'Imperial Calcs'!E96,'Imperial Calcs'!G96))</f>
        <v/>
      </c>
      <c r="G100" s="30" t="str">
        <f>IF(OR(C99=1,C99=""),"",IF('Imperial Data'!$B$2,'Imperial Calcs'!F96,'Imperial Calcs'!J96))</f>
        <v/>
      </c>
      <c r="H100" s="30" t="str">
        <f>IF(OR(C99=1,C99=""),"",IF('Imperial Data'!$B$2,'Imperial Calcs'!G96,'Imperial Calcs'!M96))</f>
        <v/>
      </c>
      <c r="I100" s="30" t="str">
        <f>IF(C100="","",IF('Imperial Data'!$B$2,'Imperial Calcs'!J96,'Imperial Calcs'!Y96))</f>
        <v/>
      </c>
      <c r="J100" s="30" t="str">
        <f>IF('Imperial Data'!$B$2,'Imperial Calcs'!M96,"")</f>
        <v/>
      </c>
      <c r="K100" s="30" t="str">
        <f>IF('Imperial Data'!$B$2,'Imperial Calcs'!Y96,"")</f>
        <v/>
      </c>
      <c r="L100" s="37" t="str">
        <f>IF('Imperial Data'!$B$2,J100,H100)</f>
        <v/>
      </c>
      <c r="M100" s="112" t="str">
        <f>IF('Imperial Data'!$B$2,K100,I100)</f>
        <v/>
      </c>
      <c r="O100" s="32" t="str">
        <f t="shared" si="18"/>
        <v/>
      </c>
      <c r="Q100" s="112">
        <f t="shared" si="19"/>
        <v>-8.3333333333326362E-2</v>
      </c>
      <c r="R100" s="32" t="str">
        <f t="shared" si="13"/>
        <v/>
      </c>
      <c r="S100" s="32" t="str">
        <f t="shared" si="14"/>
        <v/>
      </c>
      <c r="U100" s="32" t="str">
        <f t="shared" si="16"/>
        <v/>
      </c>
      <c r="W100" s="30" t="str" cm="1">
        <f t="array" ref="W100">IF($AO$21="INVERT",R100,IF(W99&gt;=$S$12,"",IF(R99="","",INDEX($R$18:$R$227,$U$17-ROWS($R$18:$R99)))))</f>
        <v/>
      </c>
      <c r="X100" s="30" t="str">
        <f t="shared" si="17"/>
        <v/>
      </c>
      <c r="Y100" s="30" t="str">
        <f>IF(Y99="","",IF($AO$21="TYP",IF(S99="","",INDEX($S$18:$S$227,$U$17-ROWS($S$18:$S99))),IF($AO$21="INVERT",S100,"")))</f>
        <v/>
      </c>
      <c r="Z100" s="75" t="str">
        <f t="shared" si="15"/>
        <v/>
      </c>
    </row>
    <row r="101" spans="1:26" x14ac:dyDescent="0.2">
      <c r="A101" s="32" t="str">
        <f t="shared" si="12"/>
        <v/>
      </c>
      <c r="C101" s="35" t="str">
        <f>IF(OR(C100=1,C100=""),"",'Imperial Calcs'!B97)</f>
        <v/>
      </c>
      <c r="D101" s="30" t="str">
        <f>IF(C101="","",'Imperial Calcs'!C97)</f>
        <v/>
      </c>
      <c r="E101" s="30" t="str">
        <f>IF(OR(C100=1,C100=""),"",IF('Imperial Data'!$B$2,'Imperial Calcs'!D97,'Imperial Calcs'!E97))</f>
        <v/>
      </c>
      <c r="F101" s="30" t="str">
        <f>IF(OR(C100=1,C100=""),"",IF('Imperial Data'!$B$2,'Imperial Calcs'!E97,'Imperial Calcs'!G97))</f>
        <v/>
      </c>
      <c r="G101" s="30" t="str">
        <f>IF(OR(C100=1,C100=""),"",IF('Imperial Data'!$B$2,'Imperial Calcs'!F97,'Imperial Calcs'!J97))</f>
        <v/>
      </c>
      <c r="H101" s="30" t="str">
        <f>IF(OR(C100=1,C100=""),"",IF('Imperial Data'!$B$2,'Imperial Calcs'!G97,'Imperial Calcs'!M97))</f>
        <v/>
      </c>
      <c r="I101" s="30" t="str">
        <f>IF(C101="","",IF('Imperial Data'!$B$2,'Imperial Calcs'!J97,'Imperial Calcs'!Y97))</f>
        <v/>
      </c>
      <c r="J101" s="30" t="str">
        <f>IF('Imperial Data'!$B$2,'Imperial Calcs'!M97,"")</f>
        <v/>
      </c>
      <c r="K101" s="30" t="str">
        <f>IF('Imperial Data'!$B$2,'Imperial Calcs'!Y97,"")</f>
        <v/>
      </c>
      <c r="L101" s="37" t="str">
        <f>IF('Imperial Data'!$B$2,J101,H101)</f>
        <v/>
      </c>
      <c r="M101" s="112" t="str">
        <f>IF('Imperial Data'!$B$2,K101,I101)</f>
        <v/>
      </c>
      <c r="O101" s="32" t="str">
        <f t="shared" si="18"/>
        <v/>
      </c>
      <c r="Q101" s="112">
        <f t="shared" si="19"/>
        <v>-0.16666666666665969</v>
      </c>
      <c r="R101" s="32" t="str">
        <f t="shared" si="13"/>
        <v/>
      </c>
      <c r="S101" s="32" t="str">
        <f t="shared" si="14"/>
        <v/>
      </c>
      <c r="U101" s="32" t="str">
        <f t="shared" si="16"/>
        <v/>
      </c>
      <c r="W101" s="30" t="str" cm="1">
        <f t="array" ref="W101">IF($AO$21="INVERT",R101,IF(W100&gt;=$S$12,"",IF(R100="","",INDEX($R$18:$R$227,$U$17-ROWS($R$18:$R100)))))</f>
        <v/>
      </c>
      <c r="X101" s="30" t="str">
        <f t="shared" si="17"/>
        <v/>
      </c>
      <c r="Y101" s="30" t="str">
        <f>IF(Y100="","",IF($AO$21="TYP",IF(S100="","",INDEX($S$18:$S$227,$U$17-ROWS($S$18:$S100))),IF($AO$21="INVERT",S101,"")))</f>
        <v/>
      </c>
      <c r="Z101" s="75" t="str">
        <f t="shared" si="15"/>
        <v/>
      </c>
    </row>
    <row r="102" spans="1:26" x14ac:dyDescent="0.2">
      <c r="A102" s="32" t="str">
        <f t="shared" si="12"/>
        <v/>
      </c>
      <c r="C102" s="35" t="str">
        <f>IF(OR(C101=1,C101=""),"",'Imperial Calcs'!B98)</f>
        <v/>
      </c>
      <c r="D102" s="30" t="str">
        <f>IF(C102="","",'Imperial Calcs'!C98)</f>
        <v/>
      </c>
      <c r="E102" s="30" t="str">
        <f>IF(OR(C101=1,C101=""),"",IF('Imperial Data'!$B$2,'Imperial Calcs'!D98,'Imperial Calcs'!E98))</f>
        <v/>
      </c>
      <c r="F102" s="30" t="str">
        <f>IF(OR(C101=1,C101=""),"",IF('Imperial Data'!$B$2,'Imperial Calcs'!E98,'Imperial Calcs'!G98))</f>
        <v/>
      </c>
      <c r="G102" s="30" t="str">
        <f>IF(OR(C101=1,C101=""),"",IF('Imperial Data'!$B$2,'Imperial Calcs'!F98,'Imperial Calcs'!J98))</f>
        <v/>
      </c>
      <c r="H102" s="30" t="str">
        <f>IF(OR(C101=1,C101=""),"",IF('Imperial Data'!$B$2,'Imperial Calcs'!G98,'Imperial Calcs'!M98))</f>
        <v/>
      </c>
      <c r="I102" s="30" t="str">
        <f>IF(C102="","",IF('Imperial Data'!$B$2,'Imperial Calcs'!J98,'Imperial Calcs'!Y98))</f>
        <v/>
      </c>
      <c r="J102" s="30" t="str">
        <f>IF('Imperial Data'!$B$2,'Imperial Calcs'!M98,"")</f>
        <v/>
      </c>
      <c r="K102" s="30" t="str">
        <f>IF('Imperial Data'!$B$2,'Imperial Calcs'!Y98,"")</f>
        <v/>
      </c>
      <c r="L102" s="37" t="str">
        <f>IF('Imperial Data'!$B$2,J102,H102)</f>
        <v/>
      </c>
      <c r="M102" s="112" t="str">
        <f>IF('Imperial Data'!$B$2,K102,I102)</f>
        <v/>
      </c>
      <c r="O102" s="32" t="str">
        <f t="shared" si="18"/>
        <v/>
      </c>
      <c r="Q102" s="112">
        <f t="shared" si="19"/>
        <v>-0.24999999999999301</v>
      </c>
      <c r="R102" s="32" t="str">
        <f t="shared" si="13"/>
        <v/>
      </c>
      <c r="S102" s="32" t="str">
        <f t="shared" si="14"/>
        <v/>
      </c>
      <c r="U102" s="32" t="str">
        <f t="shared" si="16"/>
        <v/>
      </c>
      <c r="W102" s="30" t="str" cm="1">
        <f t="array" ref="W102">IF($AO$21="INVERT",R102,IF(W101&gt;=$S$12,"",IF(R101="","",INDEX($R$18:$R$227,$U$17-ROWS($R$18:$R101)))))</f>
        <v/>
      </c>
      <c r="X102" s="30" t="str">
        <f t="shared" si="17"/>
        <v/>
      </c>
      <c r="Y102" s="30" t="str">
        <f>IF(Y101="","",IF($AO$21="TYP",IF(S101="","",INDEX($S$18:$S$227,$U$17-ROWS($S$18:$S101))),IF($AO$21="INVERT",S102,"")))</f>
        <v/>
      </c>
      <c r="Z102" s="75" t="str">
        <f t="shared" si="15"/>
        <v/>
      </c>
    </row>
    <row r="103" spans="1:26" x14ac:dyDescent="0.2">
      <c r="A103" s="32" t="str">
        <f t="shared" si="12"/>
        <v/>
      </c>
      <c r="C103" s="35" t="str">
        <f>IF(OR(C102=1,C102=""),"",'Imperial Calcs'!B99)</f>
        <v/>
      </c>
      <c r="D103" s="30" t="str">
        <f>IF(C103="","",'Imperial Calcs'!C99)</f>
        <v/>
      </c>
      <c r="E103" s="30" t="str">
        <f>IF(OR(C102=1,C102=""),"",IF('Imperial Data'!$B$2,'Imperial Calcs'!D99,'Imperial Calcs'!E99))</f>
        <v/>
      </c>
      <c r="F103" s="30" t="str">
        <f>IF(OR(C102=1,C102=""),"",IF('Imperial Data'!$B$2,'Imperial Calcs'!E99,'Imperial Calcs'!G99))</f>
        <v/>
      </c>
      <c r="G103" s="30" t="str">
        <f>IF(OR(C102=1,C102=""),"",IF('Imperial Data'!$B$2,'Imperial Calcs'!F99,'Imperial Calcs'!J99))</f>
        <v/>
      </c>
      <c r="H103" s="30" t="str">
        <f>IF(OR(C102=1,C102=""),"",IF('Imperial Data'!$B$2,'Imperial Calcs'!G99,'Imperial Calcs'!M99))</f>
        <v/>
      </c>
      <c r="I103" s="30" t="str">
        <f>IF(C103="","",IF('Imperial Data'!$B$2,'Imperial Calcs'!J99,'Imperial Calcs'!Y99))</f>
        <v/>
      </c>
      <c r="J103" s="30" t="str">
        <f>IF('Imperial Data'!$B$2,'Imperial Calcs'!M99,"")</f>
        <v/>
      </c>
      <c r="K103" s="30" t="str">
        <f>IF('Imperial Data'!$B$2,'Imperial Calcs'!Y99,"")</f>
        <v/>
      </c>
      <c r="L103" s="37" t="str">
        <f>IF('Imperial Data'!$B$2,J103,H103)</f>
        <v/>
      </c>
      <c r="M103" s="112" t="str">
        <f>IF('Imperial Data'!$B$2,K103,I103)</f>
        <v/>
      </c>
      <c r="O103" s="32" t="str">
        <f t="shared" si="18"/>
        <v/>
      </c>
      <c r="Q103" s="112">
        <f t="shared" si="19"/>
        <v>-0.33333333333332632</v>
      </c>
      <c r="R103" s="32" t="str">
        <f t="shared" si="13"/>
        <v/>
      </c>
      <c r="S103" s="32" t="str">
        <f t="shared" si="14"/>
        <v/>
      </c>
      <c r="U103" s="32" t="str">
        <f t="shared" si="16"/>
        <v/>
      </c>
      <c r="W103" s="30" t="str" cm="1">
        <f t="array" ref="W103">IF($AO$21="INVERT",R103,IF(W102&gt;=$S$12,"",IF(R102="","",INDEX($R$18:$R$227,$U$17-ROWS($R$18:$R102)))))</f>
        <v/>
      </c>
      <c r="X103" s="30" t="str">
        <f t="shared" si="17"/>
        <v/>
      </c>
      <c r="Y103" s="30" t="str">
        <f>IF(Y102="","",IF($AO$21="TYP",IF(S102="","",INDEX($S$18:$S$227,$U$17-ROWS($S$18:$S102))),IF($AO$21="INVERT",S103,"")))</f>
        <v/>
      </c>
      <c r="Z103" s="75" t="str">
        <f t="shared" si="15"/>
        <v/>
      </c>
    </row>
    <row r="104" spans="1:26" x14ac:dyDescent="0.2">
      <c r="A104" s="32" t="str">
        <f t="shared" si="12"/>
        <v/>
      </c>
      <c r="C104" s="35" t="str">
        <f>IF(OR(C103=1,C103=""),"",'Imperial Calcs'!B100)</f>
        <v/>
      </c>
      <c r="D104" s="30" t="str">
        <f>IF(C104="","",'Imperial Calcs'!C100)</f>
        <v/>
      </c>
      <c r="E104" s="30" t="str">
        <f>IF(OR(C103=1,C103=""),"",IF('Imperial Data'!$B$2,'Imperial Calcs'!D100,'Imperial Calcs'!E100))</f>
        <v/>
      </c>
      <c r="F104" s="30" t="str">
        <f>IF(OR(C103=1,C103=""),"",IF('Imperial Data'!$B$2,'Imperial Calcs'!E100,'Imperial Calcs'!G100))</f>
        <v/>
      </c>
      <c r="G104" s="30" t="str">
        <f>IF(OR(C103=1,C103=""),"",IF('Imperial Data'!$B$2,'Imperial Calcs'!F100,'Imperial Calcs'!J100))</f>
        <v/>
      </c>
      <c r="H104" s="30" t="str">
        <f>IF(OR(C103=1,C103=""),"",IF('Imperial Data'!$B$2,'Imperial Calcs'!G100,'Imperial Calcs'!M100))</f>
        <v/>
      </c>
      <c r="I104" s="30" t="str">
        <f>IF(C104="","",IF('Imperial Data'!$B$2,'Imperial Calcs'!J100,'Imperial Calcs'!Y100))</f>
        <v/>
      </c>
      <c r="J104" s="30" t="str">
        <f>IF('Imperial Data'!$B$2,'Imperial Calcs'!M100,"")</f>
        <v/>
      </c>
      <c r="K104" s="30" t="str">
        <f>IF('Imperial Data'!$B$2,'Imperial Calcs'!Y100,"")</f>
        <v/>
      </c>
      <c r="L104" s="37" t="str">
        <f>IF('Imperial Data'!$B$2,J104,H104)</f>
        <v/>
      </c>
      <c r="M104" s="112" t="str">
        <f>IF('Imperial Data'!$B$2,K104,I104)</f>
        <v/>
      </c>
      <c r="O104" s="32" t="str">
        <f t="shared" si="18"/>
        <v/>
      </c>
      <c r="Q104" s="112">
        <f t="shared" si="19"/>
        <v>-0.41666666666665964</v>
      </c>
      <c r="R104" s="32" t="str">
        <f t="shared" si="13"/>
        <v/>
      </c>
      <c r="S104" s="32" t="str">
        <f t="shared" si="14"/>
        <v/>
      </c>
      <c r="U104" s="32" t="str">
        <f t="shared" si="16"/>
        <v/>
      </c>
      <c r="W104" s="30" t="str" cm="1">
        <f t="array" ref="W104">IF($AO$21="INVERT",R104,IF(W103&gt;=$S$12,"",IF(R103="","",INDEX($R$18:$R$227,$U$17-ROWS($R$18:$R103)))))</f>
        <v/>
      </c>
      <c r="X104" s="30" t="str">
        <f t="shared" si="17"/>
        <v/>
      </c>
      <c r="Y104" s="30" t="str">
        <f>IF(Y103="","",IF($AO$21="TYP",IF(S103="","",INDEX($S$18:$S$227,$U$17-ROWS($S$18:$S103))),IF($AO$21="INVERT",S104,"")))</f>
        <v/>
      </c>
      <c r="Z104" s="75" t="str">
        <f t="shared" si="15"/>
        <v/>
      </c>
    </row>
    <row r="105" spans="1:26" x14ac:dyDescent="0.2">
      <c r="A105" s="32" t="str">
        <f t="shared" si="12"/>
        <v/>
      </c>
      <c r="C105" s="35" t="str">
        <f>IF(OR(C104=1,C104=""),"",'Imperial Calcs'!B101)</f>
        <v/>
      </c>
      <c r="D105" s="30" t="str">
        <f>IF(C105="","",'Imperial Calcs'!C101)</f>
        <v/>
      </c>
      <c r="E105" s="30" t="str">
        <f>IF(OR(C104=1,C104=""),"",IF('Imperial Data'!$B$2,'Imperial Calcs'!D101,'Imperial Calcs'!E101))</f>
        <v/>
      </c>
      <c r="F105" s="30" t="str">
        <f>IF(OR(C104=1,C104=""),"",IF('Imperial Data'!$B$2,'Imperial Calcs'!E101,'Imperial Calcs'!G101))</f>
        <v/>
      </c>
      <c r="G105" s="30" t="str">
        <f>IF(OR(C104=1,C104=""),"",IF('Imperial Data'!$B$2,'Imperial Calcs'!F101,'Imperial Calcs'!J101))</f>
        <v/>
      </c>
      <c r="H105" s="30" t="str">
        <f>IF(OR(C104=1,C104=""),"",IF('Imperial Data'!$B$2,'Imperial Calcs'!G101,'Imperial Calcs'!M101))</f>
        <v/>
      </c>
      <c r="I105" s="30" t="str">
        <f>IF(C105="","",IF('Imperial Data'!$B$2,'Imperial Calcs'!J101,'Imperial Calcs'!Y101))</f>
        <v/>
      </c>
      <c r="J105" s="30" t="str">
        <f>IF('Imperial Data'!$B$2,'Imperial Calcs'!M101,"")</f>
        <v/>
      </c>
      <c r="K105" s="30" t="str">
        <f>IF('Imperial Data'!$B$2,'Imperial Calcs'!Y101,"")</f>
        <v/>
      </c>
      <c r="L105" s="37" t="str">
        <f>IF('Imperial Data'!$B$2,J105,H105)</f>
        <v/>
      </c>
      <c r="M105" s="112" t="str">
        <f>IF('Imperial Data'!$B$2,K105,I105)</f>
        <v/>
      </c>
      <c r="O105" s="32" t="str">
        <f t="shared" si="18"/>
        <v/>
      </c>
      <c r="Q105" s="112">
        <f t="shared" si="19"/>
        <v>-0.49999999999999295</v>
      </c>
      <c r="R105" s="32" t="str">
        <f t="shared" si="13"/>
        <v/>
      </c>
      <c r="S105" s="32" t="str">
        <f t="shared" si="14"/>
        <v/>
      </c>
      <c r="U105" s="32" t="str">
        <f t="shared" si="16"/>
        <v/>
      </c>
      <c r="W105" s="30" t="str" cm="1">
        <f t="array" ref="W105">IF($AO$21="INVERT",R105,IF(W104&gt;=$S$12,"",IF(R104="","",INDEX($R$18:$R$227,$U$17-ROWS($R$18:$R104)))))</f>
        <v/>
      </c>
      <c r="X105" s="30" t="str">
        <f t="shared" si="17"/>
        <v/>
      </c>
      <c r="Y105" s="30" t="str">
        <f>IF(Y104="","",IF($AO$21="TYP",IF(S104="","",INDEX($S$18:$S$227,$U$17-ROWS($S$18:$S104))),IF($AO$21="INVERT",S105,"")))</f>
        <v/>
      </c>
      <c r="Z105" s="75" t="str">
        <f t="shared" si="15"/>
        <v/>
      </c>
    </row>
    <row r="106" spans="1:26" x14ac:dyDescent="0.2">
      <c r="A106" s="32" t="str">
        <f t="shared" si="12"/>
        <v/>
      </c>
      <c r="C106" s="35" t="str">
        <f>IF(OR(C105=1,C105=""),"",'Imperial Calcs'!B102)</f>
        <v/>
      </c>
      <c r="D106" s="30" t="str">
        <f>IF(C106="","",'Imperial Calcs'!C102)</f>
        <v/>
      </c>
      <c r="E106" s="30" t="str">
        <f>IF(OR(C105=1,C105=""),"",IF('Imperial Data'!$B$2,'Imperial Calcs'!D102,'Imperial Calcs'!E102))</f>
        <v/>
      </c>
      <c r="F106" s="30" t="str">
        <f>IF(OR(C105=1,C105=""),"",IF('Imperial Data'!$B$2,'Imperial Calcs'!E102,'Imperial Calcs'!G102))</f>
        <v/>
      </c>
      <c r="G106" s="30" t="str">
        <f>IF(OR(C105=1,C105=""),"",IF('Imperial Data'!$B$2,'Imperial Calcs'!F102,'Imperial Calcs'!J102))</f>
        <v/>
      </c>
      <c r="H106" s="30" t="str">
        <f>IF(OR(C105=1,C105=""),"",IF('Imperial Data'!$B$2,'Imperial Calcs'!G102,'Imperial Calcs'!M102))</f>
        <v/>
      </c>
      <c r="I106" s="30" t="str">
        <f>IF(C106="","",IF('Imperial Data'!$B$2,'Imperial Calcs'!J102,'Imperial Calcs'!Y102))</f>
        <v/>
      </c>
      <c r="J106" s="30" t="str">
        <f>IF('Imperial Data'!$B$2,'Imperial Calcs'!M102,"")</f>
        <v/>
      </c>
      <c r="K106" s="30" t="str">
        <f>IF('Imperial Data'!$B$2,'Imperial Calcs'!Y102,"")</f>
        <v/>
      </c>
      <c r="L106" s="37" t="str">
        <f>IF('Imperial Data'!$B$2,J106,H106)</f>
        <v/>
      </c>
      <c r="M106" s="112" t="str">
        <f>IF('Imperial Data'!$B$2,K106,I106)</f>
        <v/>
      </c>
      <c r="O106" s="32" t="str">
        <f t="shared" si="18"/>
        <v/>
      </c>
      <c r="Q106" s="112">
        <f t="shared" si="19"/>
        <v>-0.58333333333332626</v>
      </c>
      <c r="R106" s="32" t="str">
        <f t="shared" si="13"/>
        <v/>
      </c>
      <c r="S106" s="32" t="str">
        <f t="shared" si="14"/>
        <v/>
      </c>
      <c r="U106" s="32" t="str">
        <f t="shared" si="16"/>
        <v/>
      </c>
      <c r="W106" s="30" t="str" cm="1">
        <f t="array" ref="W106">IF($AO$21="INVERT",R106,IF(W105&gt;=$S$12,"",IF(R105="","",INDEX($R$18:$R$227,$U$17-ROWS($R$18:$R105)))))</f>
        <v/>
      </c>
      <c r="X106" s="30" t="str">
        <f t="shared" si="17"/>
        <v/>
      </c>
      <c r="Y106" s="30" t="str">
        <f>IF(Y105="","",IF($AO$21="TYP",IF(S105="","",INDEX($S$18:$S$227,$U$17-ROWS($S$18:$S105))),IF($AO$21="INVERT",S106,"")))</f>
        <v/>
      </c>
      <c r="Z106" s="75" t="str">
        <f t="shared" si="15"/>
        <v/>
      </c>
    </row>
    <row r="107" spans="1:26" x14ac:dyDescent="0.2">
      <c r="A107" s="32" t="str">
        <f t="shared" si="12"/>
        <v/>
      </c>
      <c r="C107" s="35" t="str">
        <f>IF(OR(C106=1,C106=""),"",'Imperial Calcs'!B103)</f>
        <v/>
      </c>
      <c r="D107" s="30" t="str">
        <f>IF(C107="","",'Imperial Calcs'!C103)</f>
        <v/>
      </c>
      <c r="E107" s="30" t="str">
        <f>IF(OR(C106=1,C106=""),"",IF('Imperial Data'!$B$2,'Imperial Calcs'!D103,'Imperial Calcs'!E103))</f>
        <v/>
      </c>
      <c r="F107" s="30" t="str">
        <f>IF(OR(C106=1,C106=""),"",IF('Imperial Data'!$B$2,'Imperial Calcs'!E103,'Imperial Calcs'!G103))</f>
        <v/>
      </c>
      <c r="G107" s="30" t="str">
        <f>IF(OR(C106=1,C106=""),"",IF('Imperial Data'!$B$2,'Imperial Calcs'!F103,'Imperial Calcs'!J103))</f>
        <v/>
      </c>
      <c r="H107" s="30" t="str">
        <f>IF(OR(C106=1,C106=""),"",IF('Imperial Data'!$B$2,'Imperial Calcs'!G103,'Imperial Calcs'!M103))</f>
        <v/>
      </c>
      <c r="I107" s="30" t="str">
        <f>IF(C107="","",IF('Imperial Data'!$B$2,'Imperial Calcs'!J103,'Imperial Calcs'!Y103))</f>
        <v/>
      </c>
      <c r="J107" s="30" t="str">
        <f>IF('Imperial Data'!$B$2,'Imperial Calcs'!M103,"")</f>
        <v/>
      </c>
      <c r="K107" s="30" t="str">
        <f>IF('Imperial Data'!$B$2,'Imperial Calcs'!Y103,"")</f>
        <v/>
      </c>
      <c r="L107" s="37" t="str">
        <f>IF('Imperial Data'!$B$2,J107,H107)</f>
        <v/>
      </c>
      <c r="M107" s="112" t="str">
        <f>IF('Imperial Data'!$B$2,K107,I107)</f>
        <v/>
      </c>
      <c r="O107" s="32" t="str">
        <f t="shared" si="18"/>
        <v/>
      </c>
      <c r="Q107" s="112">
        <f t="shared" si="19"/>
        <v>-0.66666666666665964</v>
      </c>
      <c r="R107" s="32" t="str">
        <f t="shared" si="13"/>
        <v/>
      </c>
      <c r="S107" s="32" t="str">
        <f t="shared" si="14"/>
        <v/>
      </c>
      <c r="U107" s="32" t="str">
        <f t="shared" si="16"/>
        <v/>
      </c>
      <c r="W107" s="30" t="str" cm="1">
        <f t="array" ref="W107">IF($AO$21="INVERT",R107,IF(W106&gt;=$S$12,"",IF(R106="","",INDEX($R$18:$R$227,$U$17-ROWS($R$18:$R106)))))</f>
        <v/>
      </c>
      <c r="X107" s="30" t="str">
        <f t="shared" si="17"/>
        <v/>
      </c>
      <c r="Y107" s="30" t="str">
        <f>IF(Y106="","",IF($AO$21="TYP",IF(S106="","",INDEX($S$18:$S$227,$U$17-ROWS($S$18:$S106))),IF($AO$21="INVERT",S107,"")))</f>
        <v/>
      </c>
      <c r="Z107" s="75" t="str">
        <f t="shared" si="15"/>
        <v/>
      </c>
    </row>
    <row r="108" spans="1:26" x14ac:dyDescent="0.2">
      <c r="A108" s="32" t="str">
        <f t="shared" si="12"/>
        <v/>
      </c>
      <c r="C108" s="35" t="str">
        <f>IF(OR(C107=1,C107=""),"",'Imperial Calcs'!B104)</f>
        <v/>
      </c>
      <c r="D108" s="30" t="str">
        <f>IF(C108="","",'Imperial Calcs'!C104)</f>
        <v/>
      </c>
      <c r="E108" s="30" t="str">
        <f>IF(OR(C107=1,C107=""),"",IF('Imperial Data'!$B$2,'Imperial Calcs'!D104,'Imperial Calcs'!E104))</f>
        <v/>
      </c>
      <c r="F108" s="30" t="str">
        <f>IF(OR(C107=1,C107=""),"",IF('Imperial Data'!$B$2,'Imperial Calcs'!E104,'Imperial Calcs'!G104))</f>
        <v/>
      </c>
      <c r="G108" s="30" t="str">
        <f>IF(OR(C107=1,C107=""),"",IF('Imperial Data'!$B$2,'Imperial Calcs'!F104,'Imperial Calcs'!J104))</f>
        <v/>
      </c>
      <c r="H108" s="30" t="str">
        <f>IF(OR(C107=1,C107=""),"",IF('Imperial Data'!$B$2,'Imperial Calcs'!G104,'Imperial Calcs'!M104))</f>
        <v/>
      </c>
      <c r="I108" s="30" t="str">
        <f>IF(C108="","",IF('Imperial Data'!$B$2,'Imperial Calcs'!J104,'Imperial Calcs'!Y104))</f>
        <v/>
      </c>
      <c r="J108" s="30" t="str">
        <f>IF('Imperial Data'!$B$2,'Imperial Calcs'!M104,"")</f>
        <v/>
      </c>
      <c r="K108" s="30" t="str">
        <f>IF('Imperial Data'!$B$2,'Imperial Calcs'!Y104,"")</f>
        <v/>
      </c>
      <c r="L108" s="37" t="str">
        <f>IF('Imperial Data'!$B$2,J108,H108)</f>
        <v/>
      </c>
      <c r="M108" s="112" t="str">
        <f>IF('Imperial Data'!$B$2,K108,I108)</f>
        <v/>
      </c>
      <c r="O108" s="32" t="str">
        <f t="shared" si="18"/>
        <v/>
      </c>
      <c r="Q108" s="112">
        <f t="shared" si="19"/>
        <v>-0.74999999999999301</v>
      </c>
      <c r="R108" s="32" t="str">
        <f t="shared" si="13"/>
        <v/>
      </c>
      <c r="S108" s="32" t="str">
        <f t="shared" si="14"/>
        <v/>
      </c>
      <c r="U108" s="32" t="str">
        <f t="shared" si="16"/>
        <v/>
      </c>
      <c r="W108" s="30" t="str" cm="1">
        <f t="array" ref="W108">IF($AO$21="INVERT",R108,IF(W107&gt;=$S$12,"",IF(R107="","",INDEX($R$18:$R$227,$U$17-ROWS($R$18:$R107)))))</f>
        <v/>
      </c>
      <c r="X108" s="30" t="str">
        <f t="shared" si="17"/>
        <v/>
      </c>
      <c r="Y108" s="30" t="str">
        <f>IF(Y107="","",IF($AO$21="TYP",IF(S107="","",INDEX($S$18:$S$227,$U$17-ROWS($S$18:$S107))),IF($AO$21="INVERT",S108,"")))</f>
        <v/>
      </c>
      <c r="Z108" s="75" t="str">
        <f t="shared" si="15"/>
        <v/>
      </c>
    </row>
    <row r="109" spans="1:26" x14ac:dyDescent="0.2">
      <c r="A109" s="32" t="str">
        <f t="shared" si="12"/>
        <v/>
      </c>
      <c r="C109" s="35" t="str">
        <f>IF(OR(C108=1,C108=""),"",'Imperial Calcs'!B105)</f>
        <v/>
      </c>
      <c r="D109" s="30" t="str">
        <f>IF(C109="","",'Imperial Calcs'!C105)</f>
        <v/>
      </c>
      <c r="E109" s="30" t="str">
        <f>IF(OR(C108=1,C108=""),"",IF('Imperial Data'!$B$2,'Imperial Calcs'!D105,'Imperial Calcs'!E105))</f>
        <v/>
      </c>
      <c r="F109" s="30" t="str">
        <f>IF(OR(C108=1,C108=""),"",IF('Imperial Data'!$B$2,'Imperial Calcs'!E105,'Imperial Calcs'!G105))</f>
        <v/>
      </c>
      <c r="G109" s="30" t="str">
        <f>IF(OR(C108=1,C108=""),"",IF('Imperial Data'!$B$2,'Imperial Calcs'!F105,'Imperial Calcs'!J105))</f>
        <v/>
      </c>
      <c r="H109" s="30" t="str">
        <f>IF(OR(C108=1,C108=""),"",IF('Imperial Data'!$B$2,'Imperial Calcs'!G105,'Imperial Calcs'!M105))</f>
        <v/>
      </c>
      <c r="I109" s="30" t="str">
        <f>IF(C109="","",IF('Imperial Data'!$B$2,'Imperial Calcs'!J105,'Imperial Calcs'!Y105))</f>
        <v/>
      </c>
      <c r="J109" s="30" t="str">
        <f>IF('Imperial Data'!$B$2,'Imperial Calcs'!M105,"")</f>
        <v/>
      </c>
      <c r="K109" s="30" t="str">
        <f>IF('Imperial Data'!$B$2,'Imperial Calcs'!Y105,"")</f>
        <v/>
      </c>
      <c r="L109" s="37" t="str">
        <f>IF('Imperial Data'!$B$2,J109,H109)</f>
        <v/>
      </c>
      <c r="M109" s="112" t="str">
        <f>IF('Imperial Data'!$B$2,K109,I109)</f>
        <v/>
      </c>
      <c r="O109" s="32" t="str">
        <f t="shared" si="18"/>
        <v/>
      </c>
      <c r="Q109" s="112">
        <f t="shared" si="19"/>
        <v>-0.83333333333332638</v>
      </c>
      <c r="R109" s="32" t="str">
        <f t="shared" si="13"/>
        <v/>
      </c>
      <c r="S109" s="32" t="str">
        <f t="shared" si="14"/>
        <v/>
      </c>
      <c r="U109" s="32" t="str">
        <f t="shared" si="16"/>
        <v/>
      </c>
      <c r="W109" s="30" t="str" cm="1">
        <f t="array" ref="W109">IF($AO$21="INVERT",R109,IF(W108&gt;=$S$12,"",IF(R108="","",INDEX($R$18:$R$227,$U$17-ROWS($R$18:$R108)))))</f>
        <v/>
      </c>
      <c r="X109" s="30" t="str">
        <f t="shared" si="17"/>
        <v/>
      </c>
      <c r="Y109" s="30" t="str">
        <f>IF(Y108="","",IF($AO$21="TYP",IF(S108="","",INDEX($S$18:$S$227,$U$17-ROWS($S$18:$S108))),IF($AO$21="INVERT",S109,"")))</f>
        <v/>
      </c>
      <c r="Z109" s="75" t="str">
        <f t="shared" si="15"/>
        <v/>
      </c>
    </row>
    <row r="110" spans="1:26" x14ac:dyDescent="0.2">
      <c r="A110" s="32" t="str">
        <f t="shared" si="12"/>
        <v/>
      </c>
      <c r="C110" s="35" t="str">
        <f>IF(OR(C109=1,C109=""),"",'Imperial Calcs'!B106)</f>
        <v/>
      </c>
      <c r="D110" s="30" t="str">
        <f>IF(C110="","",'Imperial Calcs'!C106)</f>
        <v/>
      </c>
      <c r="E110" s="30" t="str">
        <f>IF(OR(C109=1,C109=""),"",IF('Imperial Data'!$B$2,'Imperial Calcs'!D106,'Imperial Calcs'!E106))</f>
        <v/>
      </c>
      <c r="F110" s="30" t="str">
        <f>IF(OR(C109=1,C109=""),"",IF('Imperial Data'!$B$2,'Imperial Calcs'!E106,'Imperial Calcs'!G106))</f>
        <v/>
      </c>
      <c r="G110" s="30" t="str">
        <f>IF(OR(C109=1,C109=""),"",IF('Imperial Data'!$B$2,'Imperial Calcs'!F106,'Imperial Calcs'!J106))</f>
        <v/>
      </c>
      <c r="H110" s="30" t="str">
        <f>IF(OR(C109=1,C109=""),"",IF('Imperial Data'!$B$2,'Imperial Calcs'!G106,'Imperial Calcs'!M106))</f>
        <v/>
      </c>
      <c r="I110" s="30" t="str">
        <f>IF(C110="","",IF('Imperial Data'!$B$2,'Imperial Calcs'!J106,'Imperial Calcs'!Y106))</f>
        <v/>
      </c>
      <c r="J110" s="30" t="str">
        <f>IF('Imperial Data'!$B$2,'Imperial Calcs'!M106,"")</f>
        <v/>
      </c>
      <c r="K110" s="30" t="str">
        <f>IF('Imperial Data'!$B$2,'Imperial Calcs'!Y106,"")</f>
        <v/>
      </c>
      <c r="L110" s="37" t="str">
        <f>IF('Imperial Data'!$B$2,J110,H110)</f>
        <v/>
      </c>
      <c r="M110" s="112" t="str">
        <f>IF('Imperial Data'!$B$2,K110,I110)</f>
        <v/>
      </c>
      <c r="O110" s="32" t="str">
        <f t="shared" si="18"/>
        <v/>
      </c>
      <c r="Q110" s="112">
        <f t="shared" si="19"/>
        <v>-0.91666666666665975</v>
      </c>
      <c r="R110" s="32" t="str">
        <f t="shared" si="13"/>
        <v/>
      </c>
      <c r="S110" s="32" t="str">
        <f t="shared" si="14"/>
        <v/>
      </c>
      <c r="U110" s="32" t="str">
        <f t="shared" si="16"/>
        <v/>
      </c>
      <c r="W110" s="30" t="str" cm="1">
        <f t="array" ref="W110">IF($AO$21="INVERT",R110,IF(W109&gt;=$S$12,"",IF(R109="","",INDEX($R$18:$R$227,$U$17-ROWS($R$18:$R109)))))</f>
        <v/>
      </c>
      <c r="X110" s="30" t="str">
        <f t="shared" si="17"/>
        <v/>
      </c>
      <c r="Y110" s="30" t="str">
        <f>IF(Y109="","",IF($AO$21="TYP",IF(S109="","",INDEX($S$18:$S$227,$U$17-ROWS($S$18:$S109))),IF($AO$21="INVERT",S110,"")))</f>
        <v/>
      </c>
      <c r="Z110" s="75" t="str">
        <f t="shared" si="15"/>
        <v/>
      </c>
    </row>
    <row r="111" spans="1:26" x14ac:dyDescent="0.2">
      <c r="A111" s="32" t="str">
        <f t="shared" si="12"/>
        <v/>
      </c>
      <c r="C111" s="35" t="str">
        <f>IF(OR(C110=1,C110=""),"",'Imperial Calcs'!B107)</f>
        <v/>
      </c>
      <c r="D111" s="30" t="str">
        <f>IF(C111="","",'Imperial Calcs'!C107)</f>
        <v/>
      </c>
      <c r="E111" s="30" t="str">
        <f>IF(OR(C110=1,C110=""),"",IF('Imperial Data'!$B$2,'Imperial Calcs'!D107,'Imperial Calcs'!E107))</f>
        <v/>
      </c>
      <c r="F111" s="30" t="str">
        <f>IF(OR(C110=1,C110=""),"",IF('Imperial Data'!$B$2,'Imperial Calcs'!E107,'Imperial Calcs'!G107))</f>
        <v/>
      </c>
      <c r="G111" s="30" t="str">
        <f>IF(OR(C110=1,C110=""),"",IF('Imperial Data'!$B$2,'Imperial Calcs'!F107,'Imperial Calcs'!J107))</f>
        <v/>
      </c>
      <c r="H111" s="30" t="str">
        <f>IF(OR(C110=1,C110=""),"",IF('Imperial Data'!$B$2,'Imperial Calcs'!G107,'Imperial Calcs'!M107))</f>
        <v/>
      </c>
      <c r="I111" s="30" t="str">
        <f>IF(C111="","",IF('Imperial Data'!$B$2,'Imperial Calcs'!J107,'Imperial Calcs'!Y107))</f>
        <v/>
      </c>
      <c r="J111" s="30" t="str">
        <f>IF('Imperial Data'!$B$2,'Imperial Calcs'!M107,"")</f>
        <v/>
      </c>
      <c r="K111" s="30" t="str">
        <f>IF('Imperial Data'!$B$2,'Imperial Calcs'!Y107,"")</f>
        <v/>
      </c>
      <c r="L111" s="37" t="str">
        <f>IF('Imperial Data'!$B$2,J111,H111)</f>
        <v/>
      </c>
      <c r="M111" s="112" t="str">
        <f>IF('Imperial Data'!$B$2,K111,I111)</f>
        <v/>
      </c>
      <c r="O111" s="32" t="str">
        <f t="shared" si="18"/>
        <v/>
      </c>
      <c r="Q111" s="112">
        <f t="shared" si="19"/>
        <v>-0.99999999999999312</v>
      </c>
      <c r="R111" s="32" t="str">
        <f t="shared" si="13"/>
        <v/>
      </c>
      <c r="S111" s="32" t="str">
        <f t="shared" si="14"/>
        <v/>
      </c>
      <c r="U111" s="32" t="str">
        <f t="shared" si="16"/>
        <v/>
      </c>
      <c r="W111" s="30" t="str" cm="1">
        <f t="array" ref="W111">IF($AO$21="INVERT",R111,IF(W110&gt;=$S$12,"",IF(R110="","",INDEX($R$18:$R$227,$U$17-ROWS($R$18:$R110)))))</f>
        <v/>
      </c>
      <c r="X111" s="30" t="str">
        <f t="shared" si="17"/>
        <v/>
      </c>
      <c r="Y111" s="30" t="str">
        <f>IF(Y110="","",IF($AO$21="TYP",IF(S110="","",INDEX($S$18:$S$227,$U$17-ROWS($S$18:$S110))),IF($AO$21="INVERT",S111,"")))</f>
        <v/>
      </c>
      <c r="Z111" s="75" t="str">
        <f t="shared" si="15"/>
        <v/>
      </c>
    </row>
    <row r="112" spans="1:26" x14ac:dyDescent="0.2">
      <c r="A112" s="32" t="str">
        <f t="shared" si="12"/>
        <v/>
      </c>
      <c r="C112" s="35" t="str">
        <f>IF(OR(C111=1,C111=""),"",'Imperial Calcs'!B108)</f>
        <v/>
      </c>
      <c r="D112" s="30" t="str">
        <f>IF(C112="","",'Imperial Calcs'!C108)</f>
        <v/>
      </c>
      <c r="E112" s="30" t="str">
        <f>IF(OR(C111=1,C111=""),"",IF('Imperial Data'!$B$2,'Imperial Calcs'!D108,'Imperial Calcs'!E108))</f>
        <v/>
      </c>
      <c r="F112" s="30" t="str">
        <f>IF(OR(C111=1,C111=""),"",IF('Imperial Data'!$B$2,'Imperial Calcs'!E108,'Imperial Calcs'!G108))</f>
        <v/>
      </c>
      <c r="G112" s="30" t="str">
        <f>IF(OR(C111=1,C111=""),"",IF('Imperial Data'!$B$2,'Imperial Calcs'!F108,'Imperial Calcs'!J108))</f>
        <v/>
      </c>
      <c r="H112" s="30" t="str">
        <f>IF(OR(C111=1,C111=""),"",IF('Imperial Data'!$B$2,'Imperial Calcs'!G108,'Imperial Calcs'!M108))</f>
        <v/>
      </c>
      <c r="I112" s="30" t="str">
        <f>IF(C112="","",IF('Imperial Data'!$B$2,'Imperial Calcs'!J108,'Imperial Calcs'!Y108))</f>
        <v/>
      </c>
      <c r="J112" s="30" t="str">
        <f>IF('Imperial Data'!$B$2,'Imperial Calcs'!M108,"")</f>
        <v/>
      </c>
      <c r="K112" s="30" t="str">
        <f>IF('Imperial Data'!$B$2,'Imperial Calcs'!Y108,"")</f>
        <v/>
      </c>
      <c r="L112" s="37" t="str">
        <f>IF('Imperial Data'!$B$2,J112,H112)</f>
        <v/>
      </c>
      <c r="M112" s="112" t="str">
        <f>IF('Imperial Data'!$B$2,K112,I112)</f>
        <v/>
      </c>
      <c r="O112" s="32" t="str">
        <f t="shared" si="18"/>
        <v/>
      </c>
      <c r="Q112" s="112">
        <f t="shared" si="19"/>
        <v>-1.0833333333333264</v>
      </c>
      <c r="R112" s="32" t="str">
        <f t="shared" si="13"/>
        <v/>
      </c>
      <c r="S112" s="32" t="str">
        <f t="shared" si="14"/>
        <v/>
      </c>
      <c r="U112" s="32" t="str">
        <f t="shared" si="16"/>
        <v/>
      </c>
      <c r="W112" s="30" t="str" cm="1">
        <f t="array" ref="W112">IF($AO$21="INVERT",R112,IF(W111&gt;=$S$12,"",IF(R111="","",INDEX($R$18:$R$227,$U$17-ROWS($R$18:$R111)))))</f>
        <v/>
      </c>
      <c r="X112" s="30" t="str">
        <f t="shared" si="17"/>
        <v/>
      </c>
      <c r="Y112" s="30" t="str">
        <f>IF(Y111="","",IF($AO$21="TYP",IF(S111="","",INDEX($S$18:$S$227,$U$17-ROWS($S$18:$S111))),IF($AO$21="INVERT",S112,"")))</f>
        <v/>
      </c>
      <c r="Z112" s="75" t="str">
        <f t="shared" si="15"/>
        <v/>
      </c>
    </row>
    <row r="113" spans="1:26" x14ac:dyDescent="0.2">
      <c r="A113" s="32" t="str">
        <f t="shared" si="12"/>
        <v/>
      </c>
      <c r="C113" s="35" t="str">
        <f>IF(OR(C112=1,C112=""),"",'Imperial Calcs'!B109)</f>
        <v/>
      </c>
      <c r="D113" s="30" t="str">
        <f>IF(C113="","",'Imperial Calcs'!C109)</f>
        <v/>
      </c>
      <c r="E113" s="30" t="str">
        <f>IF(OR(C112=1,C112=""),"",IF('Imperial Data'!$B$2,'Imperial Calcs'!D109,'Imperial Calcs'!E109))</f>
        <v/>
      </c>
      <c r="F113" s="30" t="str">
        <f>IF(OR(C112=1,C112=""),"",IF('Imperial Data'!$B$2,'Imperial Calcs'!E109,'Imperial Calcs'!G109))</f>
        <v/>
      </c>
      <c r="G113" s="30" t="str">
        <f>IF(OR(C112=1,C112=""),"",IF('Imperial Data'!$B$2,'Imperial Calcs'!F109,'Imperial Calcs'!J109))</f>
        <v/>
      </c>
      <c r="H113" s="30" t="str">
        <f>IF(OR(C112=1,C112=""),"",IF('Imperial Data'!$B$2,'Imperial Calcs'!G109,'Imperial Calcs'!M109))</f>
        <v/>
      </c>
      <c r="I113" s="30" t="str">
        <f>IF(C113="","",IF('Imperial Data'!$B$2,'Imperial Calcs'!J109,'Imperial Calcs'!Y109))</f>
        <v/>
      </c>
      <c r="J113" s="30" t="str">
        <f>IF('Imperial Data'!$B$2,'Imperial Calcs'!M109,"")</f>
        <v/>
      </c>
      <c r="K113" s="30" t="str">
        <f>IF('Imperial Data'!$B$2,'Imperial Calcs'!Y109,"")</f>
        <v/>
      </c>
      <c r="L113" s="37" t="str">
        <f>IF('Imperial Data'!$B$2,J113,H113)</f>
        <v/>
      </c>
      <c r="M113" s="112" t="str">
        <f>IF('Imperial Data'!$B$2,K113,I113)</f>
        <v/>
      </c>
      <c r="O113" s="32" t="str">
        <f t="shared" si="18"/>
        <v/>
      </c>
      <c r="Q113" s="112">
        <f t="shared" si="19"/>
        <v>-1.1666666666666596</v>
      </c>
      <c r="R113" s="32" t="str">
        <f t="shared" si="13"/>
        <v/>
      </c>
      <c r="S113" s="32" t="str">
        <f t="shared" si="14"/>
        <v/>
      </c>
      <c r="U113" s="32" t="str">
        <f t="shared" si="16"/>
        <v/>
      </c>
      <c r="W113" s="30" t="str" cm="1">
        <f t="array" ref="W113">IF($AO$21="INVERT",R113,IF(W112&gt;=$S$12,"",IF(R112="","",INDEX($R$18:$R$227,$U$17-ROWS($R$18:$R112)))))</f>
        <v/>
      </c>
      <c r="X113" s="30" t="str">
        <f t="shared" si="17"/>
        <v/>
      </c>
      <c r="Y113" s="30" t="str">
        <f>IF(Y112="","",IF($AO$21="TYP",IF(S112="","",INDEX($S$18:$S$227,$U$17-ROWS($S$18:$S112))),IF($AO$21="INVERT",S113,"")))</f>
        <v/>
      </c>
      <c r="Z113" s="75" t="str">
        <f t="shared" si="15"/>
        <v/>
      </c>
    </row>
    <row r="114" spans="1:26" x14ac:dyDescent="0.2">
      <c r="A114" s="32" t="str">
        <f t="shared" si="12"/>
        <v/>
      </c>
      <c r="C114" s="35" t="str">
        <f>IF(OR(C113=1,C113=""),"",'Imperial Calcs'!B110)</f>
        <v/>
      </c>
      <c r="D114" s="30" t="str">
        <f>IF(C114="","",'Imperial Calcs'!C110)</f>
        <v/>
      </c>
      <c r="E114" s="30" t="str">
        <f>IF(OR(C113=1,C113=""),"",IF('Imperial Data'!$B$2,'Imperial Calcs'!D110,'Imperial Calcs'!E110))</f>
        <v/>
      </c>
      <c r="F114" s="30" t="str">
        <f>IF(OR(C113=1,C113=""),"",IF('Imperial Data'!$B$2,'Imperial Calcs'!E110,'Imperial Calcs'!G110))</f>
        <v/>
      </c>
      <c r="G114" s="30" t="str">
        <f>IF(OR(C113=1,C113=""),"",IF('Imperial Data'!$B$2,'Imperial Calcs'!F110,'Imperial Calcs'!J110))</f>
        <v/>
      </c>
      <c r="H114" s="30" t="str">
        <f>IF(OR(C113=1,C113=""),"",IF('Imperial Data'!$B$2,'Imperial Calcs'!G110,'Imperial Calcs'!M110))</f>
        <v/>
      </c>
      <c r="I114" s="30" t="str">
        <f>IF(C114="","",IF('Imperial Data'!$B$2,'Imperial Calcs'!J110,'Imperial Calcs'!Y110))</f>
        <v/>
      </c>
      <c r="J114" s="30" t="str">
        <f>IF('Imperial Data'!$B$2,'Imperial Calcs'!M110,"")</f>
        <v/>
      </c>
      <c r="K114" s="30" t="str">
        <f>IF('Imperial Data'!$B$2,'Imperial Calcs'!Y110,"")</f>
        <v/>
      </c>
      <c r="L114" s="37" t="str">
        <f>IF('Imperial Data'!$B$2,J114,H114)</f>
        <v/>
      </c>
      <c r="M114" s="112" t="str">
        <f>IF('Imperial Data'!$B$2,K114,I114)</f>
        <v/>
      </c>
      <c r="O114" s="32" t="str">
        <f t="shared" si="18"/>
        <v/>
      </c>
      <c r="Q114" s="112">
        <f t="shared" si="19"/>
        <v>-1.2499999999999929</v>
      </c>
      <c r="R114" s="32" t="str">
        <f t="shared" ref="R114:R145" si="20">IF(AND(C114="",C113=1),0,IF(C114="","",IF(OR(Q114=0,Q114&gt;0),Q114,"")))</f>
        <v/>
      </c>
      <c r="S114" s="32" t="str">
        <f t="shared" ref="S114:S145" si="21">IF(R114="","",IF(R114=0,L113/$U$11,IF(ISNUMBER(O115),(L114-L115)/(M114-M115),S113)))</f>
        <v/>
      </c>
      <c r="U114" s="32" t="str">
        <f t="shared" si="16"/>
        <v/>
      </c>
      <c r="W114" s="30" t="str" cm="1">
        <f t="array" ref="W114">IF($AO$21="INVERT",R114,IF(W113&gt;=$S$12,"",IF(R113="","",INDEX($R$18:$R$227,$U$17-ROWS($R$18:$R113)))))</f>
        <v/>
      </c>
      <c r="X114" s="30" t="str">
        <f t="shared" si="17"/>
        <v/>
      </c>
      <c r="Y114" s="30" t="str">
        <f>IF(Y113="","",IF($AO$21="TYP",IF(S113="","",INDEX($S$18:$S$227,$U$17-ROWS($S$18:$S113))),IF($AO$21="INVERT",S114,"")))</f>
        <v/>
      </c>
      <c r="Z114" s="75" t="str">
        <f t="shared" ref="Z114:Z145" si="22">IF(Y114="","",Y114/43560)</f>
        <v/>
      </c>
    </row>
    <row r="115" spans="1:26" x14ac:dyDescent="0.2">
      <c r="A115" s="32" t="str">
        <f t="shared" si="12"/>
        <v/>
      </c>
      <c r="C115" s="35" t="str">
        <f>IF(OR(C114=1,C114=""),"",'Imperial Calcs'!B111)</f>
        <v/>
      </c>
      <c r="D115" s="30" t="str">
        <f>IF(C115="","",'Imperial Calcs'!C111)</f>
        <v/>
      </c>
      <c r="E115" s="30" t="str">
        <f>IF(OR(C114=1,C114=""),"",IF('Imperial Data'!$B$2,'Imperial Calcs'!D111,'Imperial Calcs'!E111))</f>
        <v/>
      </c>
      <c r="F115" s="30" t="str">
        <f>IF(OR(C114=1,C114=""),"",IF('Imperial Data'!$B$2,'Imperial Calcs'!E111,'Imperial Calcs'!G111))</f>
        <v/>
      </c>
      <c r="G115" s="30" t="str">
        <f>IF(OR(C114=1,C114=""),"",IF('Imperial Data'!$B$2,'Imperial Calcs'!F111,'Imperial Calcs'!J111))</f>
        <v/>
      </c>
      <c r="H115" s="30" t="str">
        <f>IF(OR(C114=1,C114=""),"",IF('Imperial Data'!$B$2,'Imperial Calcs'!G111,'Imperial Calcs'!M111))</f>
        <v/>
      </c>
      <c r="I115" s="30" t="str">
        <f>IF(C115="","",IF('Imperial Data'!$B$2,'Imperial Calcs'!J111,'Imperial Calcs'!Y111))</f>
        <v/>
      </c>
      <c r="J115" s="30" t="str">
        <f>IF('Imperial Data'!$B$2,'Imperial Calcs'!M111,"")</f>
        <v/>
      </c>
      <c r="K115" s="30" t="str">
        <f>IF('Imperial Data'!$B$2,'Imperial Calcs'!Y111,"")</f>
        <v/>
      </c>
      <c r="L115" s="37" t="str">
        <f>IF('Imperial Data'!$B$2,J115,H115)</f>
        <v/>
      </c>
      <c r="M115" s="112" t="str">
        <f>IF('Imperial Data'!$B$2,K115,I115)</f>
        <v/>
      </c>
      <c r="O115" s="32" t="str">
        <f t="shared" si="18"/>
        <v/>
      </c>
      <c r="Q115" s="112">
        <f t="shared" si="19"/>
        <v>-1.3333333333333262</v>
      </c>
      <c r="R115" s="32" t="str">
        <f t="shared" si="20"/>
        <v/>
      </c>
      <c r="S115" s="32" t="str">
        <f t="shared" si="21"/>
        <v/>
      </c>
      <c r="U115" s="32" t="str">
        <f t="shared" si="16"/>
        <v/>
      </c>
      <c r="W115" s="30" t="str" cm="1">
        <f t="array" ref="W115">IF($AO$21="INVERT",R115,IF(W114&gt;=$S$12,"",IF(R114="","",INDEX($R$18:$R$227,$U$17-ROWS($R$18:$R114)))))</f>
        <v/>
      </c>
      <c r="X115" s="30" t="str">
        <f t="shared" si="17"/>
        <v/>
      </c>
      <c r="Y115" s="30" t="str">
        <f>IF(Y114="","",IF($AO$21="TYP",IF(S114="","",INDEX($S$18:$S$227,$U$17-ROWS($S$18:$S114))),IF($AO$21="INVERT",S115,"")))</f>
        <v/>
      </c>
      <c r="Z115" s="75" t="str">
        <f t="shared" si="22"/>
        <v/>
      </c>
    </row>
    <row r="116" spans="1:26" x14ac:dyDescent="0.2">
      <c r="A116" s="32" t="str">
        <f t="shared" si="12"/>
        <v/>
      </c>
      <c r="C116" s="35" t="str">
        <f>IF(OR(C115=1,C115=""),"",'Imperial Calcs'!B112)</f>
        <v/>
      </c>
      <c r="D116" s="30" t="str">
        <f>IF(C116="","",'Imperial Calcs'!C112)</f>
        <v/>
      </c>
      <c r="E116" s="30" t="str">
        <f>IF(OR(C115=1,C115=""),"",IF('Imperial Data'!$B$2,'Imperial Calcs'!D112,'Imperial Calcs'!E112))</f>
        <v/>
      </c>
      <c r="F116" s="30" t="str">
        <f>IF(OR(C115=1,C115=""),"",IF('Imperial Data'!$B$2,'Imperial Calcs'!E112,'Imperial Calcs'!G112))</f>
        <v/>
      </c>
      <c r="G116" s="30" t="str">
        <f>IF(OR(C115=1,C115=""),"",IF('Imperial Data'!$B$2,'Imperial Calcs'!F112,'Imperial Calcs'!J112))</f>
        <v/>
      </c>
      <c r="H116" s="30" t="str">
        <f>IF(OR(C115=1,C115=""),"",IF('Imperial Data'!$B$2,'Imperial Calcs'!G112,'Imperial Calcs'!M112))</f>
        <v/>
      </c>
      <c r="I116" s="30" t="str">
        <f>IF(C116="","",IF('Imperial Data'!$B$2,'Imperial Calcs'!J112,'Imperial Calcs'!Y112))</f>
        <v/>
      </c>
      <c r="J116" s="30" t="str">
        <f>IF('Imperial Data'!$B$2,'Imperial Calcs'!M112,"")</f>
        <v/>
      </c>
      <c r="K116" s="30" t="str">
        <f>IF('Imperial Data'!$B$2,'Imperial Calcs'!Y112,"")</f>
        <v/>
      </c>
      <c r="L116" s="37" t="str">
        <f>IF('Imperial Data'!$B$2,J116,H116)</f>
        <v/>
      </c>
      <c r="M116" s="112" t="str">
        <f>IF('Imperial Data'!$B$2,K116,I116)</f>
        <v/>
      </c>
      <c r="O116" s="32" t="str">
        <f t="shared" si="18"/>
        <v/>
      </c>
      <c r="Q116" s="112">
        <f t="shared" si="19"/>
        <v>-1.4166666666666594</v>
      </c>
      <c r="R116" s="32" t="str">
        <f t="shared" si="20"/>
        <v/>
      </c>
      <c r="S116" s="32" t="str">
        <f t="shared" si="21"/>
        <v/>
      </c>
      <c r="U116" s="32" t="str">
        <f t="shared" si="16"/>
        <v/>
      </c>
      <c r="W116" s="30" t="str" cm="1">
        <f t="array" ref="W116">IF($AO$21="INVERT",R116,IF(W115&gt;=$S$12,"",IF(R115="","",INDEX($R$18:$R$227,$U$17-ROWS($R$18:$R115)))))</f>
        <v/>
      </c>
      <c r="X116" s="30" t="str">
        <f t="shared" si="17"/>
        <v/>
      </c>
      <c r="Y116" s="30" t="str">
        <f>IF(Y115="","",IF($AO$21="TYP",IF(S115="","",INDEX($S$18:$S$227,$U$17-ROWS($S$18:$S115))),IF($AO$21="INVERT",S116,"")))</f>
        <v/>
      </c>
      <c r="Z116" s="75" t="str">
        <f t="shared" si="22"/>
        <v/>
      </c>
    </row>
    <row r="117" spans="1:26" x14ac:dyDescent="0.2">
      <c r="A117" s="32" t="str">
        <f t="shared" si="12"/>
        <v/>
      </c>
      <c r="C117" s="35" t="str">
        <f>IF(OR(C116=1,C116=""),"",'Imperial Calcs'!B113)</f>
        <v/>
      </c>
      <c r="D117" s="30" t="str">
        <f>IF(C117="","",'Imperial Calcs'!C113)</f>
        <v/>
      </c>
      <c r="E117" s="30" t="str">
        <f>IF(OR(C116=1,C116=""),"",IF('Imperial Data'!$B$2,'Imperial Calcs'!D113,'Imperial Calcs'!E113))</f>
        <v/>
      </c>
      <c r="F117" s="30" t="str">
        <f>IF(OR(C116=1,C116=""),"",IF('Imperial Data'!$B$2,'Imperial Calcs'!E113,'Imperial Calcs'!G113))</f>
        <v/>
      </c>
      <c r="G117" s="30" t="str">
        <f>IF(OR(C116=1,C116=""),"",IF('Imperial Data'!$B$2,'Imperial Calcs'!F113,'Imperial Calcs'!J113))</f>
        <v/>
      </c>
      <c r="H117" s="30" t="str">
        <f>IF(OR(C116=1,C116=""),"",IF('Imperial Data'!$B$2,'Imperial Calcs'!G113,'Imperial Calcs'!M113))</f>
        <v/>
      </c>
      <c r="I117" s="30" t="str">
        <f>IF(C117="","",IF('Imperial Data'!$B$2,'Imperial Calcs'!J113,'Imperial Calcs'!Y113))</f>
        <v/>
      </c>
      <c r="J117" s="30" t="str">
        <f>IF('Imperial Data'!$B$2,'Imperial Calcs'!M113,"")</f>
        <v/>
      </c>
      <c r="K117" s="30" t="str">
        <f>IF('Imperial Data'!$B$2,'Imperial Calcs'!Y113,"")</f>
        <v/>
      </c>
      <c r="L117" s="37" t="str">
        <f>IF('Imperial Data'!$B$2,J117,H117)</f>
        <v/>
      </c>
      <c r="M117" s="112" t="str">
        <f>IF('Imperial Data'!$B$2,K117,I117)</f>
        <v/>
      </c>
      <c r="O117" s="32" t="str">
        <f t="shared" si="18"/>
        <v/>
      </c>
      <c r="Q117" s="112">
        <f t="shared" si="19"/>
        <v>-1.4999999999999927</v>
      </c>
      <c r="R117" s="32" t="str">
        <f t="shared" si="20"/>
        <v/>
      </c>
      <c r="S117" s="32" t="str">
        <f t="shared" si="21"/>
        <v/>
      </c>
      <c r="U117" s="32" t="str">
        <f t="shared" si="16"/>
        <v/>
      </c>
      <c r="W117" s="30" t="str" cm="1">
        <f t="array" ref="W117">IF($AO$21="INVERT",R117,IF(W116&gt;=$S$12,"",IF(R116="","",INDEX($R$18:$R$227,$U$17-ROWS($R$18:$R116)))))</f>
        <v/>
      </c>
      <c r="X117" s="30" t="str">
        <f t="shared" si="17"/>
        <v/>
      </c>
      <c r="Y117" s="30" t="str">
        <f>IF(Y116="","",IF($AO$21="TYP",IF(S116="","",INDEX($S$18:$S$227,$U$17-ROWS($S$18:$S116))),IF($AO$21="INVERT",S117,"")))</f>
        <v/>
      </c>
      <c r="Z117" s="75" t="str">
        <f t="shared" si="22"/>
        <v/>
      </c>
    </row>
    <row r="118" spans="1:26" x14ac:dyDescent="0.2">
      <c r="A118" s="32" t="str">
        <f t="shared" si="12"/>
        <v/>
      </c>
      <c r="C118" s="35" t="str">
        <f>IF(OR(C117=1,C117=""),"",'Imperial Calcs'!B114)</f>
        <v/>
      </c>
      <c r="D118" s="30" t="str">
        <f>IF(C118="","",'Imperial Calcs'!C114)</f>
        <v/>
      </c>
      <c r="E118" s="30" t="str">
        <f>IF(OR(C117=1,C117=""),"",IF('Imperial Data'!$B$2,'Imperial Calcs'!D114,'Imperial Calcs'!E114))</f>
        <v/>
      </c>
      <c r="F118" s="30" t="str">
        <f>IF(OR(C117=1,C117=""),"",IF('Imperial Data'!$B$2,'Imperial Calcs'!E114,'Imperial Calcs'!G114))</f>
        <v/>
      </c>
      <c r="G118" s="30" t="str">
        <f>IF(OR(C117=1,C117=""),"",IF('Imperial Data'!$B$2,'Imperial Calcs'!F114,'Imperial Calcs'!J114))</f>
        <v/>
      </c>
      <c r="H118" s="30" t="str">
        <f>IF(OR(C117=1,C117=""),"",IF('Imperial Data'!$B$2,'Imperial Calcs'!G114,'Imperial Calcs'!M114))</f>
        <v/>
      </c>
      <c r="I118" s="30" t="str">
        <f>IF(C118="","",IF('Imperial Data'!$B$2,'Imperial Calcs'!J114,'Imperial Calcs'!Y114))</f>
        <v/>
      </c>
      <c r="J118" s="30" t="str">
        <f>IF('Imperial Data'!$B$2,'Imperial Calcs'!M114,"")</f>
        <v/>
      </c>
      <c r="K118" s="30" t="str">
        <f>IF('Imperial Data'!$B$2,'Imperial Calcs'!Y114,"")</f>
        <v/>
      </c>
      <c r="L118" s="37" t="str">
        <f>IF('Imperial Data'!$B$2,J118,H118)</f>
        <v/>
      </c>
      <c r="M118" s="112" t="str">
        <f>IF('Imperial Data'!$B$2,K118,I118)</f>
        <v/>
      </c>
      <c r="O118" s="32" t="str">
        <f t="shared" si="18"/>
        <v/>
      </c>
      <c r="Q118" s="112">
        <f t="shared" si="19"/>
        <v>-1.5833333333333259</v>
      </c>
      <c r="R118" s="32" t="str">
        <f t="shared" si="20"/>
        <v/>
      </c>
      <c r="S118" s="32" t="str">
        <f t="shared" si="21"/>
        <v/>
      </c>
      <c r="U118" s="32" t="str">
        <f t="shared" si="16"/>
        <v/>
      </c>
      <c r="W118" s="30" t="str" cm="1">
        <f t="array" ref="W118">IF($AO$21="INVERT",R118,IF(W117&gt;=$S$12,"",IF(R117="","",INDEX($R$18:$R$227,$U$17-ROWS($R$18:$R117)))))</f>
        <v/>
      </c>
      <c r="X118" s="30" t="str">
        <f t="shared" si="17"/>
        <v/>
      </c>
      <c r="Y118" s="30" t="str">
        <f>IF(Y117="","",IF($AO$21="TYP",IF(S117="","",INDEX($S$18:$S$227,$U$17-ROWS($S$18:$S117))),IF($AO$21="INVERT",S118,"")))</f>
        <v/>
      </c>
      <c r="Z118" s="75" t="str">
        <f t="shared" si="22"/>
        <v/>
      </c>
    </row>
    <row r="119" spans="1:26" x14ac:dyDescent="0.2">
      <c r="A119" s="32" t="str">
        <f t="shared" si="12"/>
        <v/>
      </c>
      <c r="C119" s="35" t="str">
        <f>IF(OR(C118=1,C118=""),"",'Imperial Calcs'!B115)</f>
        <v/>
      </c>
      <c r="D119" s="30" t="str">
        <f>IF(C119="","",'Imperial Calcs'!C115)</f>
        <v/>
      </c>
      <c r="E119" s="30" t="str">
        <f>IF(OR(C118=1,C118=""),"",IF('Imperial Data'!$B$2,'Imperial Calcs'!D115,'Imperial Calcs'!E115))</f>
        <v/>
      </c>
      <c r="F119" s="30" t="str">
        <f>IF(OR(C118=1,C118=""),"",IF('Imperial Data'!$B$2,'Imperial Calcs'!E115,'Imperial Calcs'!G115))</f>
        <v/>
      </c>
      <c r="G119" s="30" t="str">
        <f>IF(OR(C118=1,C118=""),"",IF('Imperial Data'!$B$2,'Imperial Calcs'!F115,'Imperial Calcs'!J115))</f>
        <v/>
      </c>
      <c r="H119" s="30" t="str">
        <f>IF(OR(C118=1,C118=""),"",IF('Imperial Data'!$B$2,'Imperial Calcs'!G115,'Imperial Calcs'!M115))</f>
        <v/>
      </c>
      <c r="I119" s="30" t="str">
        <f>IF(C119="","",IF('Imperial Data'!$B$2,'Imperial Calcs'!J115,'Imperial Calcs'!Y115))</f>
        <v/>
      </c>
      <c r="J119" s="30" t="str">
        <f>IF('Imperial Data'!$B$2,'Imperial Calcs'!M115,"")</f>
        <v/>
      </c>
      <c r="K119" s="30" t="str">
        <f>IF('Imperial Data'!$B$2,'Imperial Calcs'!Y115,"")</f>
        <v/>
      </c>
      <c r="L119" s="37" t="str">
        <f>IF('Imperial Data'!$B$2,J119,H119)</f>
        <v/>
      </c>
      <c r="M119" s="112" t="str">
        <f>IF('Imperial Data'!$B$2,K119,I119)</f>
        <v/>
      </c>
      <c r="O119" s="32" t="str">
        <f t="shared" si="18"/>
        <v/>
      </c>
      <c r="Q119" s="112">
        <f t="shared" si="19"/>
        <v>-1.6666666666666592</v>
      </c>
      <c r="R119" s="32" t="str">
        <f t="shared" si="20"/>
        <v/>
      </c>
      <c r="S119" s="32" t="str">
        <f t="shared" si="21"/>
        <v/>
      </c>
      <c r="U119" s="32" t="str">
        <f t="shared" si="16"/>
        <v/>
      </c>
      <c r="W119" s="30" t="str" cm="1">
        <f t="array" ref="W119">IF($AO$21="INVERT",R119,IF(W118&gt;=$S$12,"",IF(R118="","",INDEX($R$18:$R$227,$U$17-ROWS($R$18:$R118)))))</f>
        <v/>
      </c>
      <c r="X119" s="30" t="str">
        <f t="shared" si="17"/>
        <v/>
      </c>
      <c r="Y119" s="30" t="str">
        <f>IF(Y118="","",IF($AO$21="TYP",IF(S118="","",INDEX($S$18:$S$227,$U$17-ROWS($S$18:$S118))),IF($AO$21="INVERT",S119,"")))</f>
        <v/>
      </c>
      <c r="Z119" s="75" t="str">
        <f t="shared" si="22"/>
        <v/>
      </c>
    </row>
    <row r="120" spans="1:26" x14ac:dyDescent="0.2">
      <c r="A120" s="32" t="str">
        <f t="shared" si="12"/>
        <v/>
      </c>
      <c r="C120" s="35" t="str">
        <f>IF(OR(C119=1,C119=""),"",'Imperial Calcs'!B116)</f>
        <v/>
      </c>
      <c r="D120" s="30" t="str">
        <f>IF(C120="","",'Imperial Calcs'!C116)</f>
        <v/>
      </c>
      <c r="E120" s="30" t="str">
        <f>IF(OR(C119=1,C119=""),"",IF('Imperial Data'!$B$2,'Imperial Calcs'!D116,'Imperial Calcs'!E116))</f>
        <v/>
      </c>
      <c r="F120" s="30" t="str">
        <f>IF(OR(C119=1,C119=""),"",IF('Imperial Data'!$B$2,'Imperial Calcs'!E116,'Imperial Calcs'!G116))</f>
        <v/>
      </c>
      <c r="G120" s="30" t="str">
        <f>IF(OR(C119=1,C119=""),"",IF('Imperial Data'!$B$2,'Imperial Calcs'!F116,'Imperial Calcs'!J116))</f>
        <v/>
      </c>
      <c r="H120" s="30" t="str">
        <f>IF(OR(C119=1,C119=""),"",IF('Imperial Data'!$B$2,'Imperial Calcs'!G116,'Imperial Calcs'!M116))</f>
        <v/>
      </c>
      <c r="I120" s="30" t="str">
        <f>IF(C120="","",IF('Imperial Data'!$B$2,'Imperial Calcs'!J116,'Imperial Calcs'!Y116))</f>
        <v/>
      </c>
      <c r="J120" s="30" t="str">
        <f>IF('Imperial Data'!$B$2,'Imperial Calcs'!M116,"")</f>
        <v/>
      </c>
      <c r="K120" s="30" t="str">
        <f>IF('Imperial Data'!$B$2,'Imperial Calcs'!Y116,"")</f>
        <v/>
      </c>
      <c r="L120" s="37" t="str">
        <f>IF('Imperial Data'!$B$2,J120,H120)</f>
        <v/>
      </c>
      <c r="M120" s="112" t="str">
        <f>IF('Imperial Data'!$B$2,K120,I120)</f>
        <v/>
      </c>
      <c r="O120" s="32" t="str">
        <f t="shared" si="18"/>
        <v/>
      </c>
      <c r="Q120" s="112">
        <f t="shared" si="19"/>
        <v>-1.7499999999999925</v>
      </c>
      <c r="R120" s="32" t="str">
        <f t="shared" si="20"/>
        <v/>
      </c>
      <c r="S120" s="32" t="str">
        <f t="shared" si="21"/>
        <v/>
      </c>
      <c r="U120" s="32" t="str">
        <f t="shared" si="16"/>
        <v/>
      </c>
      <c r="W120" s="30" t="str" cm="1">
        <f t="array" ref="W120">IF($AO$21="INVERT",R120,IF(W119&gt;=$S$12,"",IF(R119="","",INDEX($R$18:$R$227,$U$17-ROWS($R$18:$R119)))))</f>
        <v/>
      </c>
      <c r="X120" s="30" t="str">
        <f t="shared" si="17"/>
        <v/>
      </c>
      <c r="Y120" s="30" t="str">
        <f>IF(Y119="","",IF($AO$21="TYP",IF(S119="","",INDEX($S$18:$S$227,$U$17-ROWS($S$18:$S119))),IF($AO$21="INVERT",S120,"")))</f>
        <v/>
      </c>
      <c r="Z120" s="75" t="str">
        <f t="shared" si="22"/>
        <v/>
      </c>
    </row>
    <row r="121" spans="1:26" x14ac:dyDescent="0.2">
      <c r="A121" s="32" t="str">
        <f t="shared" si="12"/>
        <v/>
      </c>
      <c r="C121" s="35" t="str">
        <f>IF(OR(C120=1,C120=""),"",'Imperial Calcs'!B117)</f>
        <v/>
      </c>
      <c r="D121" s="30" t="str">
        <f>IF(C121="","",'Imperial Calcs'!C117)</f>
        <v/>
      </c>
      <c r="E121" s="30" t="str">
        <f>IF(OR(C120=1,C120=""),"",IF('Imperial Data'!$B$2,'Imperial Calcs'!D117,'Imperial Calcs'!E117))</f>
        <v/>
      </c>
      <c r="F121" s="30" t="str">
        <f>IF(OR(C120=1,C120=""),"",IF('Imperial Data'!$B$2,'Imperial Calcs'!E117,'Imperial Calcs'!G117))</f>
        <v/>
      </c>
      <c r="G121" s="30" t="str">
        <f>IF(OR(C120=1,C120=""),"",IF('Imperial Data'!$B$2,'Imperial Calcs'!F117,'Imperial Calcs'!J117))</f>
        <v/>
      </c>
      <c r="H121" s="30" t="str">
        <f>IF(OR(C120=1,C120=""),"",IF('Imperial Data'!$B$2,'Imperial Calcs'!G117,'Imperial Calcs'!M117))</f>
        <v/>
      </c>
      <c r="I121" s="30" t="str">
        <f>IF(C121="","",IF('Imperial Data'!$B$2,'Imperial Calcs'!J117,'Imperial Calcs'!Y117))</f>
        <v/>
      </c>
      <c r="J121" s="30" t="str">
        <f>IF('Imperial Data'!$B$2,'Imperial Calcs'!M117,"")</f>
        <v/>
      </c>
      <c r="K121" s="30" t="str">
        <f>IF('Imperial Data'!$B$2,'Imperial Calcs'!Y117,"")</f>
        <v/>
      </c>
      <c r="L121" s="37" t="str">
        <f>IF('Imperial Data'!$B$2,J121,H121)</f>
        <v/>
      </c>
      <c r="M121" s="112" t="str">
        <f>IF('Imperial Data'!$B$2,K121,I121)</f>
        <v/>
      </c>
      <c r="O121" s="32" t="str">
        <f t="shared" si="18"/>
        <v/>
      </c>
      <c r="Q121" s="112">
        <f t="shared" si="19"/>
        <v>-1.8333333333333257</v>
      </c>
      <c r="R121" s="32" t="str">
        <f t="shared" si="20"/>
        <v/>
      </c>
      <c r="S121" s="32" t="str">
        <f t="shared" si="21"/>
        <v/>
      </c>
      <c r="U121" s="32" t="str">
        <f t="shared" si="16"/>
        <v/>
      </c>
      <c r="W121" s="30" t="str" cm="1">
        <f t="array" ref="W121">IF($AO$21="INVERT",R121,IF(W120&gt;=$S$12,"",IF(R120="","",INDEX($R$18:$R$227,$U$17-ROWS($R$18:$R120)))))</f>
        <v/>
      </c>
      <c r="X121" s="30" t="str">
        <f t="shared" si="17"/>
        <v/>
      </c>
      <c r="Y121" s="30" t="str">
        <f>IF(Y120="","",IF($AO$21="TYP",IF(S120="","",INDEX($S$18:$S$227,$U$17-ROWS($S$18:$S120))),IF($AO$21="INVERT",S121,"")))</f>
        <v/>
      </c>
      <c r="Z121" s="75" t="str">
        <f t="shared" si="22"/>
        <v/>
      </c>
    </row>
    <row r="122" spans="1:26" x14ac:dyDescent="0.2">
      <c r="A122" s="32" t="str">
        <f t="shared" si="12"/>
        <v/>
      </c>
      <c r="C122" s="35" t="str">
        <f>IF(OR(C121=1,C121=""),"",'Imperial Calcs'!B118)</f>
        <v/>
      </c>
      <c r="D122" s="30" t="str">
        <f>IF(C122="","",'Imperial Calcs'!C118)</f>
        <v/>
      </c>
      <c r="E122" s="30" t="str">
        <f>IF(OR(C121=1,C121=""),"",IF('Imperial Data'!$B$2,'Imperial Calcs'!D118,'Imperial Calcs'!E118))</f>
        <v/>
      </c>
      <c r="F122" s="30" t="str">
        <f>IF(OR(C121=1,C121=""),"",IF('Imperial Data'!$B$2,'Imperial Calcs'!E118,'Imperial Calcs'!G118))</f>
        <v/>
      </c>
      <c r="G122" s="30" t="str">
        <f>IF(OR(C121=1,C121=""),"",IF('Imperial Data'!$B$2,'Imperial Calcs'!F118,'Imperial Calcs'!J118))</f>
        <v/>
      </c>
      <c r="H122" s="30" t="str">
        <f>IF(OR(C121=1,C121=""),"",IF('Imperial Data'!$B$2,'Imperial Calcs'!G118,'Imperial Calcs'!M118))</f>
        <v/>
      </c>
      <c r="I122" s="30" t="str">
        <f>IF(C122="","",IF('Imperial Data'!$B$2,'Imperial Calcs'!J118,'Imperial Calcs'!Y118))</f>
        <v/>
      </c>
      <c r="J122" s="30" t="str">
        <f>IF('Imperial Data'!$B$2,'Imperial Calcs'!M118,"")</f>
        <v/>
      </c>
      <c r="K122" s="30" t="str">
        <f>IF('Imperial Data'!$B$2,'Imperial Calcs'!Y118,"")</f>
        <v/>
      </c>
      <c r="L122" s="37" t="str">
        <f>IF('Imperial Data'!$B$2,J122,H122)</f>
        <v/>
      </c>
      <c r="M122" s="112" t="str">
        <f>IF('Imperial Data'!$B$2,K122,I122)</f>
        <v/>
      </c>
      <c r="O122" s="32" t="str">
        <f t="shared" si="18"/>
        <v/>
      </c>
      <c r="Q122" s="112">
        <f t="shared" si="19"/>
        <v>-1.916666666666659</v>
      </c>
      <c r="R122" s="32" t="str">
        <f t="shared" si="20"/>
        <v/>
      </c>
      <c r="S122" s="32" t="str">
        <f t="shared" si="21"/>
        <v/>
      </c>
      <c r="U122" s="32" t="str">
        <f t="shared" si="16"/>
        <v/>
      </c>
      <c r="W122" s="30" t="str" cm="1">
        <f t="array" ref="W122">IF($AO$21="INVERT",R122,IF(W121&gt;=$S$12,"",IF(R121="","",INDEX($R$18:$R$227,$U$17-ROWS($R$18:$R121)))))</f>
        <v/>
      </c>
      <c r="X122" s="30" t="str">
        <f t="shared" si="17"/>
        <v/>
      </c>
      <c r="Y122" s="30" t="str">
        <f>IF(Y121="","",IF($AO$21="TYP",IF(S121="","",INDEX($S$18:$S$227,$U$17-ROWS($S$18:$S121))),IF($AO$21="INVERT",S122,"")))</f>
        <v/>
      </c>
      <c r="Z122" s="75" t="str">
        <f t="shared" si="22"/>
        <v/>
      </c>
    </row>
    <row r="123" spans="1:26" x14ac:dyDescent="0.2">
      <c r="A123" s="32" t="str">
        <f t="shared" si="12"/>
        <v/>
      </c>
      <c r="C123" s="35" t="str">
        <f>IF(OR(C122=1,C122=""),"",'Imperial Calcs'!B119)</f>
        <v/>
      </c>
      <c r="D123" s="30" t="str">
        <f>IF(C123="","",'Imperial Calcs'!C119)</f>
        <v/>
      </c>
      <c r="E123" s="30" t="str">
        <f>IF(OR(C122=1,C122=""),"",IF('Imperial Data'!$B$2,'Imperial Calcs'!D119,'Imperial Calcs'!E119))</f>
        <v/>
      </c>
      <c r="F123" s="30" t="str">
        <f>IF(OR(C122=1,C122=""),"",IF('Imperial Data'!$B$2,'Imperial Calcs'!E119,'Imperial Calcs'!G119))</f>
        <v/>
      </c>
      <c r="G123" s="30" t="str">
        <f>IF(OR(C122=1,C122=""),"",IF('Imperial Data'!$B$2,'Imperial Calcs'!F119,'Imperial Calcs'!J119))</f>
        <v/>
      </c>
      <c r="H123" s="30" t="str">
        <f>IF(OR(C122=1,C122=""),"",IF('Imperial Data'!$B$2,'Imperial Calcs'!G119,'Imperial Calcs'!M119))</f>
        <v/>
      </c>
      <c r="I123" s="30" t="str">
        <f>IF(C123="","",IF('Imperial Data'!$B$2,'Imperial Calcs'!J119,'Imperial Calcs'!Y119))</f>
        <v/>
      </c>
      <c r="J123" s="30" t="str">
        <f>IF('Imperial Data'!$B$2,'Imperial Calcs'!M119,"")</f>
        <v/>
      </c>
      <c r="K123" s="30" t="str">
        <f>IF('Imperial Data'!$B$2,'Imperial Calcs'!Y119,"")</f>
        <v/>
      </c>
      <c r="L123" s="37" t="str">
        <f>IF('Imperial Data'!$B$2,J123,H123)</f>
        <v/>
      </c>
      <c r="M123" s="112" t="str">
        <f>IF('Imperial Data'!$B$2,K123,I123)</f>
        <v/>
      </c>
      <c r="O123" s="32" t="str">
        <f t="shared" si="18"/>
        <v/>
      </c>
      <c r="Q123" s="112">
        <f t="shared" si="19"/>
        <v>-1.9999999999999922</v>
      </c>
      <c r="R123" s="32" t="str">
        <f t="shared" si="20"/>
        <v/>
      </c>
      <c r="S123" s="32" t="str">
        <f t="shared" si="21"/>
        <v/>
      </c>
      <c r="U123" s="32" t="str">
        <f t="shared" si="16"/>
        <v/>
      </c>
      <c r="W123" s="30" t="str" cm="1">
        <f t="array" ref="W123">IF($AO$21="INVERT",R123,IF(W122&gt;=$S$12,"",IF(R122="","",INDEX($R$18:$R$227,$U$17-ROWS($R$18:$R122)))))</f>
        <v/>
      </c>
      <c r="X123" s="30" t="str">
        <f t="shared" si="17"/>
        <v/>
      </c>
      <c r="Y123" s="30" t="str">
        <f>IF(Y122="","",IF($AO$21="TYP",IF(S122="","",INDEX($S$18:$S$227,$U$17-ROWS($S$18:$S122))),IF($AO$21="INVERT",S123,"")))</f>
        <v/>
      </c>
      <c r="Z123" s="75" t="str">
        <f t="shared" si="22"/>
        <v/>
      </c>
    </row>
    <row r="124" spans="1:26" x14ac:dyDescent="0.2">
      <c r="A124" s="32" t="str">
        <f t="shared" si="12"/>
        <v/>
      </c>
      <c r="C124" s="35" t="str">
        <f>IF(OR(C123=1,C123=""),"",'Imperial Calcs'!B120)</f>
        <v/>
      </c>
      <c r="D124" s="30" t="str">
        <f>IF(C124="","",'Imperial Calcs'!C120)</f>
        <v/>
      </c>
      <c r="E124" s="30" t="str">
        <f>IF(OR(C123=1,C123=""),"",IF('Imperial Data'!$B$2,'Imperial Calcs'!D120,'Imperial Calcs'!E120))</f>
        <v/>
      </c>
      <c r="F124" s="30" t="str">
        <f>IF(OR(C123=1,C123=""),"",IF('Imperial Data'!$B$2,'Imperial Calcs'!E120,'Imperial Calcs'!G120))</f>
        <v/>
      </c>
      <c r="G124" s="30" t="str">
        <f>IF(OR(C123=1,C123=""),"",IF('Imperial Data'!$B$2,'Imperial Calcs'!F120,'Imperial Calcs'!J120))</f>
        <v/>
      </c>
      <c r="H124" s="30" t="str">
        <f>IF(OR(C123=1,C123=""),"",IF('Imperial Data'!$B$2,'Imperial Calcs'!G120,'Imperial Calcs'!M120))</f>
        <v/>
      </c>
      <c r="I124" s="30" t="str">
        <f>IF(C124="","",IF('Imperial Data'!$B$2,'Imperial Calcs'!J120,'Imperial Calcs'!Y120))</f>
        <v/>
      </c>
      <c r="J124" s="30" t="str">
        <f>IF('Imperial Data'!$B$2,'Imperial Calcs'!M120,"")</f>
        <v/>
      </c>
      <c r="K124" s="30" t="str">
        <f>IF('Imperial Data'!$B$2,'Imperial Calcs'!Y120,"")</f>
        <v/>
      </c>
      <c r="L124" s="37" t="str">
        <f>IF('Imperial Data'!$B$2,J124,H124)</f>
        <v/>
      </c>
      <c r="M124" s="112" t="str">
        <f>IF('Imperial Data'!$B$2,K124,I124)</f>
        <v/>
      </c>
      <c r="O124" s="32" t="str">
        <f t="shared" si="18"/>
        <v/>
      </c>
      <c r="Q124" s="112">
        <f t="shared" si="19"/>
        <v>-2.0833333333333255</v>
      </c>
      <c r="R124" s="32" t="str">
        <f t="shared" si="20"/>
        <v/>
      </c>
      <c r="S124" s="32" t="str">
        <f t="shared" si="21"/>
        <v/>
      </c>
      <c r="U124" s="32" t="str">
        <f t="shared" si="16"/>
        <v/>
      </c>
      <c r="W124" s="30" t="str" cm="1">
        <f t="array" ref="W124">IF($AO$21="INVERT",R124,IF(W123&gt;=$S$12,"",IF(R123="","",INDEX($R$18:$R$227,$U$17-ROWS($R$18:$R123)))))</f>
        <v/>
      </c>
      <c r="X124" s="30" t="str">
        <f t="shared" si="17"/>
        <v/>
      </c>
      <c r="Y124" s="30" t="str">
        <f>IF(Y123="","",IF($AO$21="TYP",IF(S123="","",INDEX($S$18:$S$227,$U$17-ROWS($S$18:$S123))),IF($AO$21="INVERT",S124,"")))</f>
        <v/>
      </c>
      <c r="Z124" s="75" t="str">
        <f t="shared" si="22"/>
        <v/>
      </c>
    </row>
    <row r="125" spans="1:26" x14ac:dyDescent="0.2">
      <c r="A125" s="32" t="str">
        <f t="shared" si="12"/>
        <v/>
      </c>
      <c r="C125" s="35" t="str">
        <f>IF(OR(C124=1,C124=""),"",'Imperial Calcs'!B121)</f>
        <v/>
      </c>
      <c r="D125" s="30" t="str">
        <f>IF(C125="","",'Imperial Calcs'!C121)</f>
        <v/>
      </c>
      <c r="E125" s="30" t="str">
        <f>IF(OR(C124=1,C124=""),"",IF('Imperial Data'!$B$2,'Imperial Calcs'!D121,'Imperial Calcs'!E121))</f>
        <v/>
      </c>
      <c r="F125" s="30" t="str">
        <f>IF(OR(C124=1,C124=""),"",IF('Imperial Data'!$B$2,'Imperial Calcs'!E121,'Imperial Calcs'!G121))</f>
        <v/>
      </c>
      <c r="G125" s="30" t="str">
        <f>IF(OR(C124=1,C124=""),"",IF('Imperial Data'!$B$2,'Imperial Calcs'!F121,'Imperial Calcs'!J121))</f>
        <v/>
      </c>
      <c r="H125" s="30" t="str">
        <f>IF(OR(C124=1,C124=""),"",IF('Imperial Data'!$B$2,'Imperial Calcs'!G121,'Imperial Calcs'!M121))</f>
        <v/>
      </c>
      <c r="I125" s="30" t="str">
        <f>IF(C125="","",IF('Imperial Data'!$B$2,'Imperial Calcs'!J121,'Imperial Calcs'!Y121))</f>
        <v/>
      </c>
      <c r="J125" s="30" t="str">
        <f>IF('Imperial Data'!$B$2,'Imperial Calcs'!M121,"")</f>
        <v/>
      </c>
      <c r="K125" s="30" t="str">
        <f>IF('Imperial Data'!$B$2,'Imperial Calcs'!Y121,"")</f>
        <v/>
      </c>
      <c r="L125" s="37" t="str">
        <f>IF('Imperial Data'!$B$2,J125,H125)</f>
        <v/>
      </c>
      <c r="M125" s="112" t="str">
        <f>IF('Imperial Data'!$B$2,K125,I125)</f>
        <v/>
      </c>
      <c r="O125" s="32" t="str">
        <f t="shared" si="18"/>
        <v/>
      </c>
      <c r="Q125" s="112">
        <f t="shared" si="19"/>
        <v>-2.166666666666659</v>
      </c>
      <c r="R125" s="32" t="str">
        <f t="shared" si="20"/>
        <v/>
      </c>
      <c r="S125" s="32" t="str">
        <f t="shared" si="21"/>
        <v/>
      </c>
      <c r="U125" s="32" t="str">
        <f t="shared" si="16"/>
        <v/>
      </c>
      <c r="W125" s="30" t="str" cm="1">
        <f t="array" ref="W125">IF($AO$21="INVERT",R125,IF(W124&gt;=$S$12,"",IF(R124="","",INDEX($R$18:$R$227,$U$17-ROWS($R$18:$R124)))))</f>
        <v/>
      </c>
      <c r="X125" s="30" t="str">
        <f t="shared" si="17"/>
        <v/>
      </c>
      <c r="Y125" s="30" t="str">
        <f>IF(Y124="","",IF($AO$21="TYP",IF(S124="","",INDEX($S$18:$S$227,$U$17-ROWS($S$18:$S124))),IF($AO$21="INVERT",S125,"")))</f>
        <v/>
      </c>
      <c r="Z125" s="75" t="str">
        <f t="shared" si="22"/>
        <v/>
      </c>
    </row>
    <row r="126" spans="1:26" x14ac:dyDescent="0.2">
      <c r="A126" s="32" t="str">
        <f t="shared" si="12"/>
        <v/>
      </c>
      <c r="C126" s="35" t="str">
        <f>IF(OR(C125=1,C125=""),"",'Imperial Calcs'!B122)</f>
        <v/>
      </c>
      <c r="D126" s="30" t="str">
        <f>IF(C126="","",'Imperial Calcs'!C122)</f>
        <v/>
      </c>
      <c r="E126" s="30" t="str">
        <f>IF(OR(C125=1,C125=""),"",IF('Imperial Data'!$B$2,'Imperial Calcs'!D122,'Imperial Calcs'!E122))</f>
        <v/>
      </c>
      <c r="F126" s="30" t="str">
        <f>IF(OR(C125=1,C125=""),"",IF('Imperial Data'!$B$2,'Imperial Calcs'!E122,'Imperial Calcs'!G122))</f>
        <v/>
      </c>
      <c r="G126" s="30" t="str">
        <f>IF(OR(C125=1,C125=""),"",IF('Imperial Data'!$B$2,'Imperial Calcs'!F122,'Imperial Calcs'!J122))</f>
        <v/>
      </c>
      <c r="H126" s="30" t="str">
        <f>IF(OR(C125=1,C125=""),"",IF('Imperial Data'!$B$2,'Imperial Calcs'!G122,'Imperial Calcs'!M122))</f>
        <v/>
      </c>
      <c r="I126" s="30" t="str">
        <f>IF(C126="","",IF('Imperial Data'!$B$2,'Imperial Calcs'!J122,'Imperial Calcs'!Y122))</f>
        <v/>
      </c>
      <c r="J126" s="30" t="str">
        <f>IF('Imperial Data'!$B$2,'Imperial Calcs'!M122,"")</f>
        <v/>
      </c>
      <c r="K126" s="30" t="str">
        <f>IF('Imperial Data'!$B$2,'Imperial Calcs'!Y122,"")</f>
        <v/>
      </c>
      <c r="L126" s="37" t="str">
        <f>IF('Imperial Data'!$B$2,J126,H126)</f>
        <v/>
      </c>
      <c r="M126" s="112" t="str">
        <f>IF('Imperial Data'!$B$2,K126,I126)</f>
        <v/>
      </c>
      <c r="O126" s="32" t="str">
        <f t="shared" si="18"/>
        <v/>
      </c>
      <c r="Q126" s="112">
        <f t="shared" si="19"/>
        <v>-2.2499999999999925</v>
      </c>
      <c r="R126" s="32" t="str">
        <f t="shared" si="20"/>
        <v/>
      </c>
      <c r="S126" s="32" t="str">
        <f t="shared" si="21"/>
        <v/>
      </c>
      <c r="U126" s="32" t="str">
        <f t="shared" si="16"/>
        <v/>
      </c>
      <c r="W126" s="30" t="str" cm="1">
        <f t="array" ref="W126">IF($AO$21="INVERT",R126,IF(W125&gt;=$S$12,"",IF(R125="","",INDEX($R$18:$R$227,$U$17-ROWS($R$18:$R125)))))</f>
        <v/>
      </c>
      <c r="X126" s="30" t="str">
        <f t="shared" si="17"/>
        <v/>
      </c>
      <c r="Y126" s="30" t="str">
        <f>IF(Y125="","",IF($AO$21="TYP",IF(S125="","",INDEX($S$18:$S$227,$U$17-ROWS($S$18:$S125))),IF($AO$21="INVERT",S126,"")))</f>
        <v/>
      </c>
      <c r="Z126" s="75" t="str">
        <f t="shared" si="22"/>
        <v/>
      </c>
    </row>
    <row r="127" spans="1:26" x14ac:dyDescent="0.2">
      <c r="A127" s="32" t="str">
        <f t="shared" si="12"/>
        <v/>
      </c>
      <c r="C127" s="35" t="str">
        <f>IF(OR(C126=1,C126=""),"",'Imperial Calcs'!B123)</f>
        <v/>
      </c>
      <c r="D127" s="30" t="str">
        <f>IF(C127="","",'Imperial Calcs'!C123)</f>
        <v/>
      </c>
      <c r="E127" s="30" t="str">
        <f>IF(OR(C126=1,C126=""),"",IF('Imperial Data'!$B$2,'Imperial Calcs'!D123,'Imperial Calcs'!E123))</f>
        <v/>
      </c>
      <c r="F127" s="30" t="str">
        <f>IF(OR(C126=1,C126=""),"",IF('Imperial Data'!$B$2,'Imperial Calcs'!E123,'Imperial Calcs'!G123))</f>
        <v/>
      </c>
      <c r="G127" s="30" t="str">
        <f>IF(OR(C126=1,C126=""),"",IF('Imperial Data'!$B$2,'Imperial Calcs'!F123,'Imperial Calcs'!J123))</f>
        <v/>
      </c>
      <c r="H127" s="30" t="str">
        <f>IF(OR(C126=1,C126=""),"",IF('Imperial Data'!$B$2,'Imperial Calcs'!G123,'Imperial Calcs'!M123))</f>
        <v/>
      </c>
      <c r="I127" s="30" t="str">
        <f>IF(C127="","",IF('Imperial Data'!$B$2,'Imperial Calcs'!J123,'Imperial Calcs'!Y123))</f>
        <v/>
      </c>
      <c r="J127" s="30" t="str">
        <f>IF('Imperial Data'!$B$2,'Imperial Calcs'!M123,"")</f>
        <v/>
      </c>
      <c r="K127" s="30" t="str">
        <f>IF('Imperial Data'!$B$2,'Imperial Calcs'!Y123,"")</f>
        <v/>
      </c>
      <c r="L127" s="37" t="str">
        <f>IF('Imperial Data'!$B$2,J127,H127)</f>
        <v/>
      </c>
      <c r="M127" s="112" t="str">
        <f>IF('Imperial Data'!$B$2,K127,I127)</f>
        <v/>
      </c>
      <c r="O127" s="32" t="str">
        <f t="shared" si="18"/>
        <v/>
      </c>
      <c r="Q127" s="112">
        <f t="shared" si="19"/>
        <v>-2.3333333333333259</v>
      </c>
      <c r="R127" s="32" t="str">
        <f t="shared" si="20"/>
        <v/>
      </c>
      <c r="S127" s="32" t="str">
        <f t="shared" si="21"/>
        <v/>
      </c>
      <c r="U127" s="32" t="str">
        <f t="shared" si="16"/>
        <v/>
      </c>
      <c r="W127" s="30" t="str" cm="1">
        <f t="array" ref="W127">IF($AO$21="INVERT",R127,IF(W126&gt;=$S$12,"",IF(R126="","",INDEX($R$18:$R$227,$U$17-ROWS($R$18:$R126)))))</f>
        <v/>
      </c>
      <c r="X127" s="30" t="str">
        <f t="shared" si="17"/>
        <v/>
      </c>
      <c r="Y127" s="30" t="str">
        <f>IF(Y126="","",IF($AO$21="TYP",IF(S126="","",INDEX($S$18:$S$227,$U$17-ROWS($S$18:$S126))),IF($AO$21="INVERT",S127,"")))</f>
        <v/>
      </c>
      <c r="Z127" s="75" t="str">
        <f t="shared" si="22"/>
        <v/>
      </c>
    </row>
    <row r="128" spans="1:26" x14ac:dyDescent="0.2">
      <c r="A128" s="32" t="str">
        <f t="shared" si="12"/>
        <v/>
      </c>
      <c r="C128" s="35" t="str">
        <f>IF(OR(C127=1,C127=""),"",'Imperial Calcs'!B124)</f>
        <v/>
      </c>
      <c r="D128" s="30" t="str">
        <f>IF(C128="","",'Imperial Calcs'!C124)</f>
        <v/>
      </c>
      <c r="E128" s="30" t="str">
        <f>IF(OR(C127=1,C127=""),"",IF('Imperial Data'!$B$2,'Imperial Calcs'!D124,'Imperial Calcs'!E124))</f>
        <v/>
      </c>
      <c r="F128" s="30" t="str">
        <f>IF(OR(C127=1,C127=""),"",IF('Imperial Data'!$B$2,'Imperial Calcs'!E124,'Imperial Calcs'!G124))</f>
        <v/>
      </c>
      <c r="G128" s="30" t="str">
        <f>IF(OR(C127=1,C127=""),"",IF('Imperial Data'!$B$2,'Imperial Calcs'!F124,'Imperial Calcs'!J124))</f>
        <v/>
      </c>
      <c r="H128" s="30" t="str">
        <f>IF(OR(C127=1,C127=""),"",IF('Imperial Data'!$B$2,'Imperial Calcs'!G124,'Imperial Calcs'!M124))</f>
        <v/>
      </c>
      <c r="I128" s="30" t="str">
        <f>IF(C128="","",IF('Imperial Data'!$B$2,'Imperial Calcs'!J124,'Imperial Calcs'!Y124))</f>
        <v/>
      </c>
      <c r="J128" s="30" t="str">
        <f>IF('Imperial Data'!$B$2,'Imperial Calcs'!M124,"")</f>
        <v/>
      </c>
      <c r="K128" s="30" t="str">
        <f>IF('Imperial Data'!$B$2,'Imperial Calcs'!Y124,"")</f>
        <v/>
      </c>
      <c r="L128" s="37" t="str">
        <f>IF('Imperial Data'!$B$2,J128,H128)</f>
        <v/>
      </c>
      <c r="M128" s="112" t="str">
        <f>IF('Imperial Data'!$B$2,K128,I128)</f>
        <v/>
      </c>
      <c r="O128" s="32" t="str">
        <f t="shared" si="18"/>
        <v/>
      </c>
      <c r="Q128" s="112">
        <f t="shared" si="19"/>
        <v>-2.4166666666666594</v>
      </c>
      <c r="R128" s="32" t="str">
        <f t="shared" si="20"/>
        <v/>
      </c>
      <c r="S128" s="32" t="str">
        <f t="shared" si="21"/>
        <v/>
      </c>
      <c r="U128" s="32" t="str">
        <f t="shared" si="16"/>
        <v/>
      </c>
      <c r="W128" s="30" t="str" cm="1">
        <f t="array" ref="W128">IF($AO$21="INVERT",R128,IF(W127&gt;=$S$12,"",IF(R127="","",INDEX($R$18:$R$227,$U$17-ROWS($R$18:$R127)))))</f>
        <v/>
      </c>
      <c r="X128" s="30" t="str">
        <f t="shared" si="17"/>
        <v/>
      </c>
      <c r="Y128" s="30" t="str">
        <f>IF(Y127="","",IF($AO$21="TYP",IF(S127="","",INDEX($S$18:$S$227,$U$17-ROWS($S$18:$S127))),IF($AO$21="INVERT",S128,"")))</f>
        <v/>
      </c>
      <c r="Z128" s="75" t="str">
        <f t="shared" si="22"/>
        <v/>
      </c>
    </row>
    <row r="129" spans="1:26" x14ac:dyDescent="0.2">
      <c r="A129" s="32" t="str">
        <f t="shared" si="12"/>
        <v/>
      </c>
      <c r="C129" s="35" t="str">
        <f>IF(OR(C128=1,C128=""),"",'Imperial Calcs'!B125)</f>
        <v/>
      </c>
      <c r="D129" s="30" t="str">
        <f>IF(C129="","",'Imperial Calcs'!C125)</f>
        <v/>
      </c>
      <c r="E129" s="30" t="str">
        <f>IF(OR(C128=1,C128=""),"",IF('Imperial Data'!$B$2,'Imperial Calcs'!D125,'Imperial Calcs'!E125))</f>
        <v/>
      </c>
      <c r="F129" s="30" t="str">
        <f>IF(OR(C128=1,C128=""),"",IF('Imperial Data'!$B$2,'Imperial Calcs'!E125,'Imperial Calcs'!G125))</f>
        <v/>
      </c>
      <c r="G129" s="30" t="str">
        <f>IF(OR(C128=1,C128=""),"",IF('Imperial Data'!$B$2,'Imperial Calcs'!F125,'Imperial Calcs'!J125))</f>
        <v/>
      </c>
      <c r="H129" s="30" t="str">
        <f>IF(OR(C128=1,C128=""),"",IF('Imperial Data'!$B$2,'Imperial Calcs'!G125,'Imperial Calcs'!M125))</f>
        <v/>
      </c>
      <c r="I129" s="30" t="str">
        <f>IF(C129="","",IF('Imperial Data'!$B$2,'Imperial Calcs'!J125,'Imperial Calcs'!Y125))</f>
        <v/>
      </c>
      <c r="J129" s="30" t="str">
        <f>IF('Imperial Data'!$B$2,'Imperial Calcs'!M125,"")</f>
        <v/>
      </c>
      <c r="K129" s="30" t="str">
        <f>IF('Imperial Data'!$B$2,'Imperial Calcs'!Y125,"")</f>
        <v/>
      </c>
      <c r="L129" s="37" t="str">
        <f>IF('Imperial Data'!$B$2,J129,H129)</f>
        <v/>
      </c>
      <c r="M129" s="112" t="str">
        <f>IF('Imperial Data'!$B$2,K129,I129)</f>
        <v/>
      </c>
      <c r="O129" s="32" t="str">
        <f t="shared" si="18"/>
        <v/>
      </c>
      <c r="Q129" s="112">
        <f t="shared" si="19"/>
        <v>-2.4999999999999929</v>
      </c>
      <c r="R129" s="32" t="str">
        <f t="shared" si="20"/>
        <v/>
      </c>
      <c r="S129" s="32" t="str">
        <f t="shared" si="21"/>
        <v/>
      </c>
      <c r="U129" s="32" t="str">
        <f t="shared" si="16"/>
        <v/>
      </c>
      <c r="W129" s="30" t="str" cm="1">
        <f t="array" ref="W129">IF($AO$21="INVERT",R129,IF(W128&gt;=$S$12,"",IF(R128="","",INDEX($R$18:$R$227,$U$17-ROWS($R$18:$R128)))))</f>
        <v/>
      </c>
      <c r="X129" s="30" t="str">
        <f t="shared" si="17"/>
        <v/>
      </c>
      <c r="Y129" s="30" t="str">
        <f>IF(Y128="","",IF($AO$21="TYP",IF(S128="","",INDEX($S$18:$S$227,$U$17-ROWS($S$18:$S128))),IF($AO$21="INVERT",S129,"")))</f>
        <v/>
      </c>
      <c r="Z129" s="75" t="str">
        <f t="shared" si="22"/>
        <v/>
      </c>
    </row>
    <row r="130" spans="1:26" x14ac:dyDescent="0.2">
      <c r="A130" s="32" t="str">
        <f t="shared" si="12"/>
        <v/>
      </c>
      <c r="C130" s="35" t="str">
        <f>IF(OR(C129=1,C129=""),"",'Imperial Calcs'!B126)</f>
        <v/>
      </c>
      <c r="D130" s="30" t="str">
        <f>IF(C130="","",'Imperial Calcs'!C126)</f>
        <v/>
      </c>
      <c r="E130" s="30" t="str">
        <f>IF(OR(C129=1,C129=""),"",IF('Imperial Data'!$B$2,'Imperial Calcs'!D126,'Imperial Calcs'!E126))</f>
        <v/>
      </c>
      <c r="F130" s="30" t="str">
        <f>IF(OR(C129=1,C129=""),"",IF('Imperial Data'!$B$2,'Imperial Calcs'!E126,'Imperial Calcs'!G126))</f>
        <v/>
      </c>
      <c r="G130" s="30" t="str">
        <f>IF(OR(C129=1,C129=""),"",IF('Imperial Data'!$B$2,'Imperial Calcs'!F126,'Imperial Calcs'!J126))</f>
        <v/>
      </c>
      <c r="H130" s="30" t="str">
        <f>IF(OR(C129=1,C129=""),"",IF('Imperial Data'!$B$2,'Imperial Calcs'!G126,'Imperial Calcs'!M126))</f>
        <v/>
      </c>
      <c r="I130" s="30" t="str">
        <f>IF(C130="","",IF('Imperial Data'!$B$2,'Imperial Calcs'!J126,'Imperial Calcs'!Y126))</f>
        <v/>
      </c>
      <c r="J130" s="30" t="str">
        <f>IF('Imperial Data'!$B$2,'Imperial Calcs'!M126,"")</f>
        <v/>
      </c>
      <c r="K130" s="30" t="str">
        <f>IF('Imperial Data'!$B$2,'Imperial Calcs'!Y126,"")</f>
        <v/>
      </c>
      <c r="L130" s="37" t="str">
        <f>IF('Imperial Data'!$B$2,J130,H130)</f>
        <v/>
      </c>
      <c r="M130" s="112" t="str">
        <f>IF('Imperial Data'!$B$2,K130,I130)</f>
        <v/>
      </c>
      <c r="O130" s="32" t="str">
        <f t="shared" si="18"/>
        <v/>
      </c>
      <c r="Q130" s="112">
        <f t="shared" si="19"/>
        <v>-2.5833333333333264</v>
      </c>
      <c r="R130" s="32" t="str">
        <f t="shared" si="20"/>
        <v/>
      </c>
      <c r="S130" s="32" t="str">
        <f t="shared" si="21"/>
        <v/>
      </c>
      <c r="U130" s="32" t="str">
        <f t="shared" si="16"/>
        <v/>
      </c>
      <c r="W130" s="30" t="str" cm="1">
        <f t="array" ref="W130">IF($AO$21="INVERT",R130,IF(W129&gt;=$S$12,"",IF(R129="","",INDEX($R$18:$R$227,$U$17-ROWS($R$18:$R129)))))</f>
        <v/>
      </c>
      <c r="X130" s="30" t="str">
        <f t="shared" si="17"/>
        <v/>
      </c>
      <c r="Y130" s="30" t="str">
        <f>IF(Y129="","",IF($AO$21="TYP",IF(S129="","",INDEX($S$18:$S$227,$U$17-ROWS($S$18:$S129))),IF($AO$21="INVERT",S130,"")))</f>
        <v/>
      </c>
      <c r="Z130" s="75" t="str">
        <f t="shared" si="22"/>
        <v/>
      </c>
    </row>
    <row r="131" spans="1:26" x14ac:dyDescent="0.2">
      <c r="A131" s="32" t="str">
        <f t="shared" si="12"/>
        <v/>
      </c>
      <c r="C131" s="35" t="str">
        <f>IF(OR(C130=1,C130=""),"",'Imperial Calcs'!B127)</f>
        <v/>
      </c>
      <c r="D131" s="30" t="str">
        <f>IF(C131="","",'Imperial Calcs'!C127)</f>
        <v/>
      </c>
      <c r="E131" s="30" t="str">
        <f>IF(OR(C130=1,C130=""),"",IF('Imperial Data'!$B$2,'Imperial Calcs'!D127,'Imperial Calcs'!E127))</f>
        <v/>
      </c>
      <c r="F131" s="30" t="str">
        <f>IF(OR(C130=1,C130=""),"",IF('Imperial Data'!$B$2,'Imperial Calcs'!E127,'Imperial Calcs'!G127))</f>
        <v/>
      </c>
      <c r="G131" s="30" t="str">
        <f>IF(OR(C130=1,C130=""),"",IF('Imperial Data'!$B$2,'Imperial Calcs'!F127,'Imperial Calcs'!J127))</f>
        <v/>
      </c>
      <c r="H131" s="30" t="str">
        <f>IF(OR(C130=1,C130=""),"",IF('Imperial Data'!$B$2,'Imperial Calcs'!G127,'Imperial Calcs'!M127))</f>
        <v/>
      </c>
      <c r="I131" s="30" t="str">
        <f>IF(C131="","",IF('Imperial Data'!$B$2,'Imperial Calcs'!J127,'Imperial Calcs'!Y127))</f>
        <v/>
      </c>
      <c r="J131" s="30" t="str">
        <f>IF('Imperial Data'!$B$2,'Imperial Calcs'!M127,"")</f>
        <v/>
      </c>
      <c r="K131" s="30" t="str">
        <f>IF('Imperial Data'!$B$2,'Imperial Calcs'!Y127,"")</f>
        <v/>
      </c>
      <c r="L131" s="37" t="str">
        <f>IF('Imperial Data'!$B$2,J131,H131)</f>
        <v/>
      </c>
      <c r="M131" s="112" t="str">
        <f>IF('Imperial Data'!$B$2,K131,I131)</f>
        <v/>
      </c>
      <c r="O131" s="32" t="str">
        <f t="shared" si="18"/>
        <v/>
      </c>
      <c r="Q131" s="112">
        <f t="shared" si="19"/>
        <v>-2.6666666666666599</v>
      </c>
      <c r="R131" s="32" t="str">
        <f t="shared" si="20"/>
        <v/>
      </c>
      <c r="S131" s="32" t="str">
        <f t="shared" si="21"/>
        <v/>
      </c>
      <c r="U131" s="32" t="str">
        <f t="shared" si="16"/>
        <v/>
      </c>
      <c r="W131" s="30" t="str" cm="1">
        <f t="array" ref="W131">IF($AO$21="INVERT",R131,IF(W130&gt;=$S$12,"",IF(R130="","",INDEX($R$18:$R$227,$U$17-ROWS($R$18:$R130)))))</f>
        <v/>
      </c>
      <c r="X131" s="30" t="str">
        <f t="shared" si="17"/>
        <v/>
      </c>
      <c r="Y131" s="30" t="str">
        <f>IF(Y130="","",IF($AO$21="TYP",IF(S130="","",INDEX($S$18:$S$227,$U$17-ROWS($S$18:$S130))),IF($AO$21="INVERT",S131,"")))</f>
        <v/>
      </c>
      <c r="Z131" s="75" t="str">
        <f t="shared" si="22"/>
        <v/>
      </c>
    </row>
    <row r="132" spans="1:26" x14ac:dyDescent="0.2">
      <c r="A132" s="32" t="str">
        <f t="shared" si="12"/>
        <v/>
      </c>
      <c r="C132" s="35" t="str">
        <f>IF(OR(C131=1,C131=""),"",'Imperial Calcs'!B128)</f>
        <v/>
      </c>
      <c r="D132" s="30" t="str">
        <f>IF(C132="","",'Imperial Calcs'!C128)</f>
        <v/>
      </c>
      <c r="E132" s="30" t="str">
        <f>IF(OR(C131=1,C131=""),"",IF('Imperial Data'!$B$2,'Imperial Calcs'!D128,'Imperial Calcs'!E128))</f>
        <v/>
      </c>
      <c r="F132" s="30" t="str">
        <f>IF(OR(C131=1,C131=""),"",IF('Imperial Data'!$B$2,'Imperial Calcs'!E128,'Imperial Calcs'!G128))</f>
        <v/>
      </c>
      <c r="G132" s="30" t="str">
        <f>IF(OR(C131=1,C131=""),"",IF('Imperial Data'!$B$2,'Imperial Calcs'!F128,'Imperial Calcs'!J128))</f>
        <v/>
      </c>
      <c r="H132" s="30" t="str">
        <f>IF(OR(C131=1,C131=""),"",IF('Imperial Data'!$B$2,'Imperial Calcs'!G128,'Imperial Calcs'!M128))</f>
        <v/>
      </c>
      <c r="I132" s="30" t="str">
        <f>IF(C132="","",IF('Imperial Data'!$B$2,'Imperial Calcs'!J128,'Imperial Calcs'!Y128))</f>
        <v/>
      </c>
      <c r="J132" s="30" t="str">
        <f>IF('Imperial Data'!$B$2,'Imperial Calcs'!M128,"")</f>
        <v/>
      </c>
      <c r="K132" s="30" t="str">
        <f>IF('Imperial Data'!$B$2,'Imperial Calcs'!Y128,"")</f>
        <v/>
      </c>
      <c r="L132" s="37" t="str">
        <f>IF('Imperial Data'!$B$2,J132,H132)</f>
        <v/>
      </c>
      <c r="M132" s="112" t="str">
        <f>IF('Imperial Data'!$B$2,K132,I132)</f>
        <v/>
      </c>
      <c r="O132" s="32" t="str">
        <f t="shared" si="18"/>
        <v/>
      </c>
      <c r="Q132" s="112">
        <f t="shared" si="19"/>
        <v>-2.7499999999999933</v>
      </c>
      <c r="R132" s="32" t="str">
        <f t="shared" si="20"/>
        <v/>
      </c>
      <c r="S132" s="32" t="str">
        <f t="shared" si="21"/>
        <v/>
      </c>
      <c r="U132" s="32" t="str">
        <f t="shared" si="16"/>
        <v/>
      </c>
      <c r="W132" s="30" t="str" cm="1">
        <f t="array" ref="W132">IF($AO$21="INVERT",R132,IF(W131&gt;=$S$12,"",IF(R131="","",INDEX($R$18:$R$227,$U$17-ROWS($R$18:$R131)))))</f>
        <v/>
      </c>
      <c r="X132" s="30" t="str">
        <f t="shared" si="17"/>
        <v/>
      </c>
      <c r="Y132" s="30" t="str">
        <f>IF(Y131="","",IF($AO$21="TYP",IF(S131="","",INDEX($S$18:$S$227,$U$17-ROWS($S$18:$S131))),IF($AO$21="INVERT",S132,"")))</f>
        <v/>
      </c>
      <c r="Z132" s="75" t="str">
        <f t="shared" si="22"/>
        <v/>
      </c>
    </row>
    <row r="133" spans="1:26" x14ac:dyDescent="0.2">
      <c r="A133" s="32" t="str">
        <f t="shared" si="12"/>
        <v/>
      </c>
      <c r="C133" s="35" t="str">
        <f>IF(OR(C132=1,C132=""),"",'Imperial Calcs'!B129)</f>
        <v/>
      </c>
      <c r="D133" s="30" t="str">
        <f>IF(C133="","",'Imperial Calcs'!C129)</f>
        <v/>
      </c>
      <c r="E133" s="30" t="str">
        <f>IF(OR(C132=1,C132=""),"",IF('Imperial Data'!$B$2,'Imperial Calcs'!D129,'Imperial Calcs'!E129))</f>
        <v/>
      </c>
      <c r="F133" s="30" t="str">
        <f>IF(OR(C132=1,C132=""),"",IF('Imperial Data'!$B$2,'Imperial Calcs'!E129,'Imperial Calcs'!G129))</f>
        <v/>
      </c>
      <c r="G133" s="30" t="str">
        <f>IF(OR(C132=1,C132=""),"",IF('Imperial Data'!$B$2,'Imperial Calcs'!F129,'Imperial Calcs'!J129))</f>
        <v/>
      </c>
      <c r="H133" s="30" t="str">
        <f>IF(OR(C132=1,C132=""),"",IF('Imperial Data'!$B$2,'Imperial Calcs'!G129,'Imperial Calcs'!M129))</f>
        <v/>
      </c>
      <c r="I133" s="30" t="str">
        <f>IF(C133="","",IF('Imperial Data'!$B$2,'Imperial Calcs'!J129,'Imperial Calcs'!Y129))</f>
        <v/>
      </c>
      <c r="J133" s="30" t="str">
        <f>IF('Imperial Data'!$B$2,'Imperial Calcs'!M129,"")</f>
        <v/>
      </c>
      <c r="K133" s="30" t="str">
        <f>IF('Imperial Data'!$B$2,'Imperial Calcs'!Y129,"")</f>
        <v/>
      </c>
      <c r="L133" s="37" t="str">
        <f>IF('Imperial Data'!$B$2,J133,H133)</f>
        <v/>
      </c>
      <c r="M133" s="112" t="str">
        <f>IF('Imperial Data'!$B$2,K133,I133)</f>
        <v/>
      </c>
      <c r="O133" s="32" t="str">
        <f t="shared" si="18"/>
        <v/>
      </c>
      <c r="Q133" s="112">
        <f t="shared" si="19"/>
        <v>-2.8333333333333268</v>
      </c>
      <c r="R133" s="32" t="str">
        <f t="shared" si="20"/>
        <v/>
      </c>
      <c r="S133" s="32" t="str">
        <f t="shared" si="21"/>
        <v/>
      </c>
      <c r="U133" s="32" t="str">
        <f t="shared" si="16"/>
        <v/>
      </c>
      <c r="W133" s="30" t="str" cm="1">
        <f t="array" ref="W133">IF($AO$21="INVERT",R133,IF(W132&gt;=$S$12,"",IF(R132="","",INDEX($R$18:$R$227,$U$17-ROWS($R$18:$R132)))))</f>
        <v/>
      </c>
      <c r="X133" s="30" t="str">
        <f t="shared" si="17"/>
        <v/>
      </c>
      <c r="Y133" s="30" t="str">
        <f>IF(Y132="","",IF($AO$21="TYP",IF(S132="","",INDEX($S$18:$S$227,$U$17-ROWS($S$18:$S132))),IF($AO$21="INVERT",S133,"")))</f>
        <v/>
      </c>
      <c r="Z133" s="75" t="str">
        <f t="shared" si="22"/>
        <v/>
      </c>
    </row>
    <row r="134" spans="1:26" x14ac:dyDescent="0.2">
      <c r="A134" s="32" t="str">
        <f t="shared" si="12"/>
        <v/>
      </c>
      <c r="C134" s="35" t="str">
        <f>IF(OR(C133=1,C133=""),"",'Imperial Calcs'!B130)</f>
        <v/>
      </c>
      <c r="D134" s="30" t="str">
        <f>IF(C134="","",'Imperial Calcs'!C130)</f>
        <v/>
      </c>
      <c r="E134" s="30" t="str">
        <f>IF(OR(C133=1,C133=""),"",IF('Imperial Data'!$B$2,'Imperial Calcs'!D130,'Imperial Calcs'!E130))</f>
        <v/>
      </c>
      <c r="F134" s="30" t="str">
        <f>IF(OR(C133=1,C133=""),"",IF('Imperial Data'!$B$2,'Imperial Calcs'!E130,'Imperial Calcs'!G130))</f>
        <v/>
      </c>
      <c r="G134" s="30" t="str">
        <f>IF(OR(C133=1,C133=""),"",IF('Imperial Data'!$B$2,'Imperial Calcs'!F130,'Imperial Calcs'!J130))</f>
        <v/>
      </c>
      <c r="H134" s="30" t="str">
        <f>IF(OR(C133=1,C133=""),"",IF('Imperial Data'!$B$2,'Imperial Calcs'!G130,'Imperial Calcs'!M130))</f>
        <v/>
      </c>
      <c r="I134" s="30" t="str">
        <f>IF(C134="","",IF('Imperial Data'!$B$2,'Imperial Calcs'!J130,'Imperial Calcs'!Y130))</f>
        <v/>
      </c>
      <c r="J134" s="30" t="str">
        <f>IF('Imperial Data'!$B$2,'Imperial Calcs'!M130,"")</f>
        <v/>
      </c>
      <c r="K134" s="30" t="str">
        <f>IF('Imperial Data'!$B$2,'Imperial Calcs'!Y130,"")</f>
        <v/>
      </c>
      <c r="L134" s="37" t="str">
        <f>IF('Imperial Data'!$B$2,J134,H134)</f>
        <v/>
      </c>
      <c r="M134" s="112" t="str">
        <f>IF('Imperial Data'!$B$2,K134,I134)</f>
        <v/>
      </c>
      <c r="O134" s="32" t="str">
        <f t="shared" si="18"/>
        <v/>
      </c>
      <c r="Q134" s="112">
        <f t="shared" si="19"/>
        <v>-2.9166666666666603</v>
      </c>
      <c r="R134" s="32" t="str">
        <f t="shared" si="20"/>
        <v/>
      </c>
      <c r="S134" s="32" t="str">
        <f t="shared" si="21"/>
        <v/>
      </c>
      <c r="U134" s="32" t="str">
        <f t="shared" si="16"/>
        <v/>
      </c>
      <c r="W134" s="30" t="str" cm="1">
        <f t="array" ref="W134">IF($AO$21="INVERT",R134,IF(W133&gt;=$S$12,"",IF(R133="","",INDEX($R$18:$R$227,$U$17-ROWS($R$18:$R133)))))</f>
        <v/>
      </c>
      <c r="X134" s="30" t="str">
        <f t="shared" si="17"/>
        <v/>
      </c>
      <c r="Y134" s="30" t="str">
        <f>IF(Y133="","",IF($AO$21="TYP",IF(S133="","",INDEX($S$18:$S$227,$U$17-ROWS($S$18:$S133))),IF($AO$21="INVERT",S134,"")))</f>
        <v/>
      </c>
      <c r="Z134" s="75" t="str">
        <f t="shared" si="22"/>
        <v/>
      </c>
    </row>
    <row r="135" spans="1:26" x14ac:dyDescent="0.2">
      <c r="A135" s="32" t="str">
        <f t="shared" si="12"/>
        <v/>
      </c>
      <c r="C135" s="35" t="str">
        <f>IF(OR(C134=1,C134=""),"",'Imperial Calcs'!B131)</f>
        <v/>
      </c>
      <c r="D135" s="30" t="str">
        <f>IF(C135="","",'Imperial Calcs'!C131)</f>
        <v/>
      </c>
      <c r="E135" s="30" t="str">
        <f>IF(OR(C134=1,C134=""),"",IF('Imperial Data'!$B$2,'Imperial Calcs'!D131,'Imperial Calcs'!E131))</f>
        <v/>
      </c>
      <c r="F135" s="30" t="str">
        <f>IF(OR(C134=1,C134=""),"",IF('Imperial Data'!$B$2,'Imperial Calcs'!E131,'Imperial Calcs'!G131))</f>
        <v/>
      </c>
      <c r="G135" s="30" t="str">
        <f>IF(OR(C134=1,C134=""),"",IF('Imperial Data'!$B$2,'Imperial Calcs'!F131,'Imperial Calcs'!J131))</f>
        <v/>
      </c>
      <c r="H135" s="30" t="str">
        <f>IF(OR(C134=1,C134=""),"",IF('Imperial Data'!$B$2,'Imperial Calcs'!G131,'Imperial Calcs'!M131))</f>
        <v/>
      </c>
      <c r="I135" s="30" t="str">
        <f>IF(C135="","",IF('Imperial Data'!$B$2,'Imperial Calcs'!J131,'Imperial Calcs'!Y131))</f>
        <v/>
      </c>
      <c r="J135" s="30" t="str">
        <f>IF('Imperial Data'!$B$2,'Imperial Calcs'!M131,"")</f>
        <v/>
      </c>
      <c r="K135" s="30" t="str">
        <f>IF('Imperial Data'!$B$2,'Imperial Calcs'!Y131,"")</f>
        <v/>
      </c>
      <c r="L135" s="37" t="str">
        <f>IF('Imperial Data'!$B$2,J135,H135)</f>
        <v/>
      </c>
      <c r="M135" s="112" t="str">
        <f>IF('Imperial Data'!$B$2,K135,I135)</f>
        <v/>
      </c>
      <c r="O135" s="32" t="str">
        <f t="shared" si="18"/>
        <v/>
      </c>
      <c r="Q135" s="112">
        <f t="shared" si="19"/>
        <v>-2.9999999999999938</v>
      </c>
      <c r="R135" s="32" t="str">
        <f t="shared" si="20"/>
        <v/>
      </c>
      <c r="S135" s="32" t="str">
        <f t="shared" si="21"/>
        <v/>
      </c>
      <c r="U135" s="32" t="str">
        <f t="shared" si="16"/>
        <v/>
      </c>
      <c r="W135" s="30" t="str" cm="1">
        <f t="array" ref="W135">IF($AO$21="INVERT",R135,IF(W134&gt;=$S$12,"",IF(R134="","",INDEX($R$18:$R$227,$U$17-ROWS($R$18:$R134)))))</f>
        <v/>
      </c>
      <c r="X135" s="30" t="str">
        <f t="shared" si="17"/>
        <v/>
      </c>
      <c r="Y135" s="30" t="str">
        <f>IF(Y134="","",IF($AO$21="TYP",IF(S134="","",INDEX($S$18:$S$227,$U$17-ROWS($S$18:$S134))),IF($AO$21="INVERT",S135,"")))</f>
        <v/>
      </c>
      <c r="Z135" s="75" t="str">
        <f t="shared" si="22"/>
        <v/>
      </c>
    </row>
    <row r="136" spans="1:26" x14ac:dyDescent="0.2">
      <c r="A136" s="32" t="str">
        <f t="shared" si="12"/>
        <v/>
      </c>
      <c r="C136" s="35" t="str">
        <f>IF(OR(C135=1,C135=""),"",'Imperial Calcs'!B132)</f>
        <v/>
      </c>
      <c r="D136" s="30" t="str">
        <f>IF(C136="","",'Imperial Calcs'!C132)</f>
        <v/>
      </c>
      <c r="E136" s="30" t="str">
        <f>IF(OR(C135=1,C135=""),"",IF('Imperial Data'!$B$2,'Imperial Calcs'!D132,'Imperial Calcs'!E132))</f>
        <v/>
      </c>
      <c r="F136" s="30" t="str">
        <f>IF(OR(C135=1,C135=""),"",IF('Imperial Data'!$B$2,'Imperial Calcs'!E132,'Imperial Calcs'!G132))</f>
        <v/>
      </c>
      <c r="G136" s="30" t="str">
        <f>IF(OR(C135=1,C135=""),"",IF('Imperial Data'!$B$2,'Imperial Calcs'!F132,'Imperial Calcs'!J132))</f>
        <v/>
      </c>
      <c r="H136" s="30" t="str">
        <f>IF(OR(C135=1,C135=""),"",IF('Imperial Data'!$B$2,'Imperial Calcs'!G132,'Imperial Calcs'!M132))</f>
        <v/>
      </c>
      <c r="I136" s="30" t="str">
        <f>IF(C136="","",IF('Imperial Data'!$B$2,'Imperial Calcs'!J132,'Imperial Calcs'!Y132))</f>
        <v/>
      </c>
      <c r="J136" s="30" t="str">
        <f>IF('Imperial Data'!$B$2,'Imperial Calcs'!M132,"")</f>
        <v/>
      </c>
      <c r="K136" s="30" t="str">
        <f>IF('Imperial Data'!$B$2,'Imperial Calcs'!Y132,"")</f>
        <v/>
      </c>
      <c r="L136" s="37" t="str">
        <f>IF('Imperial Data'!$B$2,J136,H136)</f>
        <v/>
      </c>
      <c r="M136" s="112" t="str">
        <f>IF('Imperial Data'!$B$2,K136,I136)</f>
        <v/>
      </c>
      <c r="O136" s="32" t="str">
        <f t="shared" si="18"/>
        <v/>
      </c>
      <c r="Q136" s="112">
        <f t="shared" si="19"/>
        <v>-3.0833333333333273</v>
      </c>
      <c r="R136" s="32" t="str">
        <f t="shared" si="20"/>
        <v/>
      </c>
      <c r="S136" s="32" t="str">
        <f t="shared" si="21"/>
        <v/>
      </c>
      <c r="U136" s="32" t="str">
        <f t="shared" si="16"/>
        <v/>
      </c>
      <c r="W136" s="30" t="str" cm="1">
        <f t="array" ref="W136">IF($AO$21="INVERT",R136,IF(W135&gt;=$S$12,"",IF(R135="","",INDEX($R$18:$R$227,$U$17-ROWS($R$18:$R135)))))</f>
        <v/>
      </c>
      <c r="X136" s="30" t="str">
        <f t="shared" si="17"/>
        <v/>
      </c>
      <c r="Y136" s="30" t="str">
        <f>IF(Y135="","",IF($AO$21="TYP",IF(S135="","",INDEX($S$18:$S$227,$U$17-ROWS($S$18:$S135))),IF($AO$21="INVERT",S136,"")))</f>
        <v/>
      </c>
      <c r="Z136" s="75" t="str">
        <f t="shared" si="22"/>
        <v/>
      </c>
    </row>
    <row r="137" spans="1:26" x14ac:dyDescent="0.2">
      <c r="A137" s="32" t="str">
        <f t="shared" si="12"/>
        <v/>
      </c>
      <c r="C137" s="35" t="str">
        <f>IF(OR(C136=1,C136=""),"",'Imperial Calcs'!B133)</f>
        <v/>
      </c>
      <c r="D137" s="30" t="str">
        <f>IF(C137="","",'Imperial Calcs'!C133)</f>
        <v/>
      </c>
      <c r="E137" s="30" t="str">
        <f>IF(OR(C136=1,C136=""),"",IF('Imperial Data'!$B$2,'Imperial Calcs'!D133,'Imperial Calcs'!E133))</f>
        <v/>
      </c>
      <c r="F137" s="30" t="str">
        <f>IF(OR(C136=1,C136=""),"",IF('Imperial Data'!$B$2,'Imperial Calcs'!E133,'Imperial Calcs'!G133))</f>
        <v/>
      </c>
      <c r="G137" s="30" t="str">
        <f>IF(OR(C136=1,C136=""),"",IF('Imperial Data'!$B$2,'Imperial Calcs'!F133,'Imperial Calcs'!J133))</f>
        <v/>
      </c>
      <c r="H137" s="30" t="str">
        <f>IF(OR(C136=1,C136=""),"",IF('Imperial Data'!$B$2,'Imperial Calcs'!G133,'Imperial Calcs'!M133))</f>
        <v/>
      </c>
      <c r="I137" s="30" t="str">
        <f>IF(C137="","",IF('Imperial Data'!$B$2,'Imperial Calcs'!J133,'Imperial Calcs'!Y133))</f>
        <v/>
      </c>
      <c r="J137" s="30" t="str">
        <f>IF('Imperial Data'!$B$2,'Imperial Calcs'!M133,"")</f>
        <v/>
      </c>
      <c r="K137" s="30" t="str">
        <f>IF('Imperial Data'!$B$2,'Imperial Calcs'!Y133,"")</f>
        <v/>
      </c>
      <c r="L137" s="37" t="str">
        <f>IF('Imperial Data'!$B$2,J137,H137)</f>
        <v/>
      </c>
      <c r="M137" s="112" t="str">
        <f>IF('Imperial Data'!$B$2,K137,I137)</f>
        <v/>
      </c>
      <c r="O137" s="32" t="str">
        <f t="shared" si="18"/>
        <v/>
      </c>
      <c r="Q137" s="112">
        <f t="shared" si="19"/>
        <v>-3.1666666666666607</v>
      </c>
      <c r="R137" s="32" t="str">
        <f t="shared" si="20"/>
        <v/>
      </c>
      <c r="S137" s="32" t="str">
        <f t="shared" si="21"/>
        <v/>
      </c>
      <c r="U137" s="32" t="str">
        <f t="shared" si="16"/>
        <v/>
      </c>
      <c r="W137" s="30" t="str" cm="1">
        <f t="array" ref="W137">IF($AO$21="INVERT",R137,IF(W136&gt;=$S$12,"",IF(R136="","",INDEX($R$18:$R$227,$U$17-ROWS($R$18:$R136)))))</f>
        <v/>
      </c>
      <c r="X137" s="30" t="str">
        <f t="shared" si="17"/>
        <v/>
      </c>
      <c r="Y137" s="30" t="str">
        <f>IF(Y136="","",IF($AO$21="TYP",IF(S136="","",INDEX($S$18:$S$227,$U$17-ROWS($S$18:$S136))),IF($AO$21="INVERT",S137,"")))</f>
        <v/>
      </c>
      <c r="Z137" s="75" t="str">
        <f t="shared" si="22"/>
        <v/>
      </c>
    </row>
    <row r="138" spans="1:26" x14ac:dyDescent="0.2">
      <c r="A138" s="32" t="str">
        <f t="shared" si="12"/>
        <v/>
      </c>
      <c r="C138" s="35" t="str">
        <f>IF(OR(C137=1,C137=""),"",'Imperial Calcs'!B134)</f>
        <v/>
      </c>
      <c r="D138" s="30" t="str">
        <f>IF(C138="","",'Imperial Calcs'!C134)</f>
        <v/>
      </c>
      <c r="E138" s="30" t="str">
        <f>IF(OR(C137=1,C137=""),"",IF('Imperial Data'!$B$2,'Imperial Calcs'!D134,'Imperial Calcs'!E134))</f>
        <v/>
      </c>
      <c r="F138" s="30" t="str">
        <f>IF(OR(C137=1,C137=""),"",IF('Imperial Data'!$B$2,'Imperial Calcs'!E134,'Imperial Calcs'!G134))</f>
        <v/>
      </c>
      <c r="G138" s="30" t="str">
        <f>IF(OR(C137=1,C137=""),"",IF('Imperial Data'!$B$2,'Imperial Calcs'!F134,'Imperial Calcs'!J134))</f>
        <v/>
      </c>
      <c r="H138" s="30" t="str">
        <f>IF(OR(C137=1,C137=""),"",IF('Imperial Data'!$B$2,'Imperial Calcs'!G134,'Imperial Calcs'!M134))</f>
        <v/>
      </c>
      <c r="I138" s="30" t="str">
        <f>IF(C138="","",IF('Imperial Data'!$B$2,'Imperial Calcs'!J134,'Imperial Calcs'!Y134))</f>
        <v/>
      </c>
      <c r="J138" s="30" t="str">
        <f>IF('Imperial Data'!$B$2,'Imperial Calcs'!M134,"")</f>
        <v/>
      </c>
      <c r="K138" s="30" t="str">
        <f>IF('Imperial Data'!$B$2,'Imperial Calcs'!Y134,"")</f>
        <v/>
      </c>
      <c r="L138" s="37" t="str">
        <f>IF('Imperial Data'!$B$2,J138,H138)</f>
        <v/>
      </c>
      <c r="M138" s="112" t="str">
        <f>IF('Imperial Data'!$B$2,K138,I138)</f>
        <v/>
      </c>
      <c r="O138" s="32" t="str">
        <f t="shared" si="18"/>
        <v/>
      </c>
      <c r="Q138" s="112">
        <f t="shared" si="19"/>
        <v>-3.2499999999999942</v>
      </c>
      <c r="R138" s="32" t="str">
        <f t="shared" si="20"/>
        <v/>
      </c>
      <c r="S138" s="32" t="str">
        <f t="shared" si="21"/>
        <v/>
      </c>
      <c r="U138" s="32" t="str">
        <f t="shared" si="16"/>
        <v/>
      </c>
      <c r="W138" s="30" t="str" cm="1">
        <f t="array" ref="W138">IF($AO$21="INVERT",R138,IF(W137&gt;=$S$12,"",IF(R137="","",INDEX($R$18:$R$227,$U$17-ROWS($R$18:$R137)))))</f>
        <v/>
      </c>
      <c r="X138" s="30" t="str">
        <f t="shared" si="17"/>
        <v/>
      </c>
      <c r="Y138" s="30" t="str">
        <f>IF(Y137="","",IF($AO$21="TYP",IF(S137="","",INDEX($S$18:$S$227,$U$17-ROWS($S$18:$S137))),IF($AO$21="INVERT",S138,"")))</f>
        <v/>
      </c>
      <c r="Z138" s="75" t="str">
        <f t="shared" si="22"/>
        <v/>
      </c>
    </row>
    <row r="139" spans="1:26" x14ac:dyDescent="0.2">
      <c r="A139" s="32" t="str">
        <f t="shared" si="12"/>
        <v/>
      </c>
      <c r="C139" s="35" t="str">
        <f>IF(OR(C138=1,C138=""),"",'Imperial Calcs'!B135)</f>
        <v/>
      </c>
      <c r="D139" s="30" t="str">
        <f>IF(C139="","",'Imperial Calcs'!C135)</f>
        <v/>
      </c>
      <c r="E139" s="30" t="str">
        <f>IF(OR(C138=1,C138=""),"",IF('Imperial Data'!$B$2,'Imperial Calcs'!D135,'Imperial Calcs'!E135))</f>
        <v/>
      </c>
      <c r="F139" s="30" t="str">
        <f>IF(OR(C138=1,C138=""),"",IF('Imperial Data'!$B$2,'Imperial Calcs'!E135,'Imperial Calcs'!G135))</f>
        <v/>
      </c>
      <c r="G139" s="30" t="str">
        <f>IF(OR(C138=1,C138=""),"",IF('Imperial Data'!$B$2,'Imperial Calcs'!F135,'Imperial Calcs'!J135))</f>
        <v/>
      </c>
      <c r="H139" s="30" t="str">
        <f>IF(OR(C138=1,C138=""),"",IF('Imperial Data'!$B$2,'Imperial Calcs'!G135,'Imperial Calcs'!M135))</f>
        <v/>
      </c>
      <c r="I139" s="30" t="str">
        <f>IF(C139="","",IF('Imperial Data'!$B$2,'Imperial Calcs'!J135,'Imperial Calcs'!Y135))</f>
        <v/>
      </c>
      <c r="J139" s="30" t="str">
        <f>IF('Imperial Data'!$B$2,'Imperial Calcs'!M135,"")</f>
        <v/>
      </c>
      <c r="K139" s="30" t="str">
        <f>IF('Imperial Data'!$B$2,'Imperial Calcs'!Y135,"")</f>
        <v/>
      </c>
      <c r="L139" s="37" t="str">
        <f>IF('Imperial Data'!$B$2,J139,H139)</f>
        <v/>
      </c>
      <c r="M139" s="112" t="str">
        <f>IF('Imperial Data'!$B$2,K139,I139)</f>
        <v/>
      </c>
      <c r="O139" s="32" t="str">
        <f t="shared" si="18"/>
        <v/>
      </c>
      <c r="Q139" s="112">
        <f t="shared" si="19"/>
        <v>-3.3333333333333277</v>
      </c>
      <c r="R139" s="32" t="str">
        <f t="shared" si="20"/>
        <v/>
      </c>
      <c r="S139" s="32" t="str">
        <f t="shared" si="21"/>
        <v/>
      </c>
      <c r="U139" s="32" t="str">
        <f t="shared" si="16"/>
        <v/>
      </c>
      <c r="W139" s="30" t="str" cm="1">
        <f t="array" ref="W139">IF($AO$21="INVERT",R139,IF(W138&gt;=$S$12,"",IF(R138="","",INDEX($R$18:$R$227,$U$17-ROWS($R$18:$R138)))))</f>
        <v/>
      </c>
      <c r="X139" s="30" t="str">
        <f t="shared" si="17"/>
        <v/>
      </c>
      <c r="Y139" s="30" t="str">
        <f>IF(Y138="","",IF($AO$21="TYP",IF(S138="","",INDEX($S$18:$S$227,$U$17-ROWS($S$18:$S138))),IF($AO$21="INVERT",S139,"")))</f>
        <v/>
      </c>
      <c r="Z139" s="75" t="str">
        <f t="shared" si="22"/>
        <v/>
      </c>
    </row>
    <row r="140" spans="1:26" x14ac:dyDescent="0.2">
      <c r="A140" s="32" t="str">
        <f t="shared" si="12"/>
        <v/>
      </c>
      <c r="C140" s="35" t="str">
        <f>IF(OR(C139=1,C139=""),"",'Imperial Calcs'!B136)</f>
        <v/>
      </c>
      <c r="D140" s="30" t="str">
        <f>IF(C140="","",'Imperial Calcs'!C136)</f>
        <v/>
      </c>
      <c r="E140" s="30" t="str">
        <f>IF(OR(C139=1,C139=""),"",IF('Imperial Data'!$B$2,'Imperial Calcs'!D136,'Imperial Calcs'!E136))</f>
        <v/>
      </c>
      <c r="F140" s="30" t="str">
        <f>IF(OR(C139=1,C139=""),"",IF('Imperial Data'!$B$2,'Imperial Calcs'!E136,'Imperial Calcs'!G136))</f>
        <v/>
      </c>
      <c r="G140" s="30" t="str">
        <f>IF(OR(C139=1,C139=""),"",IF('Imperial Data'!$B$2,'Imperial Calcs'!F136,'Imperial Calcs'!J136))</f>
        <v/>
      </c>
      <c r="H140" s="30" t="str">
        <f>IF(OR(C139=1,C139=""),"",IF('Imperial Data'!$B$2,'Imperial Calcs'!G136,'Imperial Calcs'!M136))</f>
        <v/>
      </c>
      <c r="I140" s="30" t="str">
        <f>IF(C140="","",IF('Imperial Data'!$B$2,'Imperial Calcs'!J136,'Imperial Calcs'!Y136))</f>
        <v/>
      </c>
      <c r="J140" s="30" t="str">
        <f>IF('Imperial Data'!$B$2,'Imperial Calcs'!M136,"")</f>
        <v/>
      </c>
      <c r="K140" s="30" t="str">
        <f>IF('Imperial Data'!$B$2,'Imperial Calcs'!Y136,"")</f>
        <v/>
      </c>
      <c r="L140" s="37" t="str">
        <f>IF('Imperial Data'!$B$2,J140,H140)</f>
        <v/>
      </c>
      <c r="M140" s="112" t="str">
        <f>IF('Imperial Data'!$B$2,K140,I140)</f>
        <v/>
      </c>
      <c r="O140" s="32" t="str">
        <f t="shared" si="18"/>
        <v/>
      </c>
      <c r="Q140" s="112">
        <f t="shared" si="19"/>
        <v>-3.4166666666666612</v>
      </c>
      <c r="R140" s="32" t="str">
        <f t="shared" si="20"/>
        <v/>
      </c>
      <c r="S140" s="32" t="str">
        <f t="shared" si="21"/>
        <v/>
      </c>
      <c r="U140" s="32" t="str">
        <f t="shared" si="16"/>
        <v/>
      </c>
      <c r="W140" s="30" t="str" cm="1">
        <f t="array" ref="W140">IF($AO$21="INVERT",R140,IF(W139&gt;=$S$12,"",IF(R139="","",INDEX($R$18:$R$227,$U$17-ROWS($R$18:$R139)))))</f>
        <v/>
      </c>
      <c r="X140" s="30" t="str">
        <f t="shared" si="17"/>
        <v/>
      </c>
      <c r="Y140" s="30" t="str">
        <f>IF(Y139="","",IF($AO$21="TYP",IF(S139="","",INDEX($S$18:$S$227,$U$17-ROWS($S$18:$S139))),IF($AO$21="INVERT",S140,"")))</f>
        <v/>
      </c>
      <c r="Z140" s="75" t="str">
        <f t="shared" si="22"/>
        <v/>
      </c>
    </row>
    <row r="141" spans="1:26" x14ac:dyDescent="0.2">
      <c r="A141" s="32" t="str">
        <f t="shared" si="12"/>
        <v/>
      </c>
      <c r="C141" s="35" t="str">
        <f>IF(OR(C140=1,C140=""),"",'Imperial Calcs'!B137)</f>
        <v/>
      </c>
      <c r="D141" s="30" t="str">
        <f>IF(C141="","",'Imperial Calcs'!C137)</f>
        <v/>
      </c>
      <c r="E141" s="30" t="str">
        <f>IF(OR(C140=1,C140=""),"",IF('Imperial Data'!$B$2,'Imperial Calcs'!D137,'Imperial Calcs'!E137))</f>
        <v/>
      </c>
      <c r="F141" s="30" t="str">
        <f>IF(OR(C140=1,C140=""),"",IF('Imperial Data'!$B$2,'Imperial Calcs'!E137,'Imperial Calcs'!G137))</f>
        <v/>
      </c>
      <c r="G141" s="30" t="str">
        <f>IF(OR(C140=1,C140=""),"",IF('Imperial Data'!$B$2,'Imperial Calcs'!F137,'Imperial Calcs'!J137))</f>
        <v/>
      </c>
      <c r="H141" s="30" t="str">
        <f>IF(OR(C140=1,C140=""),"",IF('Imperial Data'!$B$2,'Imperial Calcs'!G137,'Imperial Calcs'!M137))</f>
        <v/>
      </c>
      <c r="I141" s="30" t="str">
        <f>IF(C141="","",IF('Imperial Data'!$B$2,'Imperial Calcs'!J137,'Imperial Calcs'!Y137))</f>
        <v/>
      </c>
      <c r="J141" s="30" t="str">
        <f>IF('Imperial Data'!$B$2,'Imperial Calcs'!M137,"")</f>
        <v/>
      </c>
      <c r="K141" s="30" t="str">
        <f>IF('Imperial Data'!$B$2,'Imperial Calcs'!Y137,"")</f>
        <v/>
      </c>
      <c r="L141" s="37" t="str">
        <f>IF('Imperial Data'!$B$2,J141,H141)</f>
        <v/>
      </c>
      <c r="M141" s="112" t="str">
        <f>IF('Imperial Data'!$B$2,K141,I141)</f>
        <v/>
      </c>
      <c r="O141" s="32" t="str">
        <f t="shared" si="18"/>
        <v/>
      </c>
      <c r="Q141" s="112">
        <f t="shared" si="19"/>
        <v>-3.4999999999999947</v>
      </c>
      <c r="R141" s="32" t="str">
        <f t="shared" si="20"/>
        <v/>
      </c>
      <c r="S141" s="32" t="str">
        <f t="shared" si="21"/>
        <v/>
      </c>
      <c r="U141" s="32" t="str">
        <f t="shared" si="16"/>
        <v/>
      </c>
      <c r="W141" s="30" t="str" cm="1">
        <f t="array" ref="W141">IF($AO$21="INVERT",R141,IF(W140&gt;=$S$12,"",IF(R140="","",INDEX($R$18:$R$227,$U$17-ROWS($R$18:$R140)))))</f>
        <v/>
      </c>
      <c r="X141" s="30" t="str">
        <f t="shared" si="17"/>
        <v/>
      </c>
      <c r="Y141" s="30" t="str">
        <f>IF(Y140="","",IF($AO$21="TYP",IF(S140="","",INDEX($S$18:$S$227,$U$17-ROWS($S$18:$S140))),IF($AO$21="INVERT",S141,"")))</f>
        <v/>
      </c>
      <c r="Z141" s="75" t="str">
        <f t="shared" si="22"/>
        <v/>
      </c>
    </row>
    <row r="142" spans="1:26" x14ac:dyDescent="0.2">
      <c r="A142" s="32" t="str">
        <f t="shared" si="12"/>
        <v/>
      </c>
      <c r="C142" s="35" t="str">
        <f>IF(OR(C141=1,C141=""),"",'Imperial Calcs'!B138)</f>
        <v/>
      </c>
      <c r="D142" s="30" t="str">
        <f>IF(C142="","",'Imperial Calcs'!C138)</f>
        <v/>
      </c>
      <c r="E142" s="30" t="str">
        <f>IF(OR(C141=1,C141=""),"",IF('Imperial Data'!$B$2,'Imperial Calcs'!D138,'Imperial Calcs'!E138))</f>
        <v/>
      </c>
      <c r="F142" s="30" t="str">
        <f>IF(OR(C141=1,C141=""),"",IF('Imperial Data'!$B$2,'Imperial Calcs'!E138,'Imperial Calcs'!G138))</f>
        <v/>
      </c>
      <c r="G142" s="30" t="str">
        <f>IF(OR(C141=1,C141=""),"",IF('Imperial Data'!$B$2,'Imperial Calcs'!F138,'Imperial Calcs'!J138))</f>
        <v/>
      </c>
      <c r="H142" s="30" t="str">
        <f>IF(OR(C141=1,C141=""),"",IF('Imperial Data'!$B$2,'Imperial Calcs'!G138,'Imperial Calcs'!M138))</f>
        <v/>
      </c>
      <c r="I142" s="30" t="str">
        <f>IF(C142="","",IF('Imperial Data'!$B$2,'Imperial Calcs'!J138,'Imperial Calcs'!Y138))</f>
        <v/>
      </c>
      <c r="J142" s="30" t="str">
        <f>IF('Imperial Data'!$B$2,'Imperial Calcs'!M138,"")</f>
        <v/>
      </c>
      <c r="K142" s="30" t="str">
        <f>IF('Imperial Data'!$B$2,'Imperial Calcs'!Y138,"")</f>
        <v/>
      </c>
      <c r="L142" s="37" t="str">
        <f>IF('Imperial Data'!$B$2,J142,H142)</f>
        <v/>
      </c>
      <c r="M142" s="112" t="str">
        <f>IF('Imperial Data'!$B$2,K142,I142)</f>
        <v/>
      </c>
      <c r="O142" s="32" t="str">
        <f t="shared" si="18"/>
        <v/>
      </c>
      <c r="Q142" s="112">
        <f t="shared" si="19"/>
        <v>-3.5833333333333282</v>
      </c>
      <c r="R142" s="32" t="str">
        <f t="shared" si="20"/>
        <v/>
      </c>
      <c r="S142" s="32" t="str">
        <f t="shared" si="21"/>
        <v/>
      </c>
      <c r="U142" s="32" t="str">
        <f t="shared" si="16"/>
        <v/>
      </c>
      <c r="W142" s="30" t="str" cm="1">
        <f t="array" ref="W142">IF($AO$21="INVERT",R142,IF(W141&gt;=$S$12,"",IF(R141="","",INDEX($R$18:$R$227,$U$17-ROWS($R$18:$R141)))))</f>
        <v/>
      </c>
      <c r="X142" s="30" t="str">
        <f t="shared" si="17"/>
        <v/>
      </c>
      <c r="Y142" s="30" t="str">
        <f>IF(Y141="","",IF($AO$21="TYP",IF(S141="","",INDEX($S$18:$S$227,$U$17-ROWS($S$18:$S141))),IF($AO$21="INVERT",S142,"")))</f>
        <v/>
      </c>
      <c r="Z142" s="75" t="str">
        <f t="shared" si="22"/>
        <v/>
      </c>
    </row>
    <row r="143" spans="1:26" x14ac:dyDescent="0.2">
      <c r="A143" s="32" t="str">
        <f t="shared" si="12"/>
        <v/>
      </c>
      <c r="C143" s="35" t="str">
        <f>IF(OR(C142=1,C142=""),"",'Imperial Calcs'!B139)</f>
        <v/>
      </c>
      <c r="D143" s="30" t="str">
        <f>IF(C143="","",'Imperial Calcs'!C139)</f>
        <v/>
      </c>
      <c r="E143" s="30" t="str">
        <f>IF(OR(C142=1,C142=""),"",IF('Imperial Data'!$B$2,'Imperial Calcs'!D139,'Imperial Calcs'!E139))</f>
        <v/>
      </c>
      <c r="F143" s="30" t="str">
        <f>IF(OR(C142=1,C142=""),"",IF('Imperial Data'!$B$2,'Imperial Calcs'!E139,'Imperial Calcs'!G139))</f>
        <v/>
      </c>
      <c r="G143" s="30" t="str">
        <f>IF(OR(C142=1,C142=""),"",IF('Imperial Data'!$B$2,'Imperial Calcs'!F139,'Imperial Calcs'!J139))</f>
        <v/>
      </c>
      <c r="H143" s="30" t="str">
        <f>IF(OR(C142=1,C142=""),"",IF('Imperial Data'!$B$2,'Imperial Calcs'!G139,'Imperial Calcs'!M139))</f>
        <v/>
      </c>
      <c r="I143" s="30" t="str">
        <f>IF(C143="","",IF('Imperial Data'!$B$2,'Imperial Calcs'!J139,'Imperial Calcs'!Y139))</f>
        <v/>
      </c>
      <c r="J143" s="30" t="str">
        <f>IF('Imperial Data'!$B$2,'Imperial Calcs'!M139,"")</f>
        <v/>
      </c>
      <c r="K143" s="30" t="str">
        <f>IF('Imperial Data'!$B$2,'Imperial Calcs'!Y139,"")</f>
        <v/>
      </c>
      <c r="L143" s="37" t="str">
        <f>IF('Imperial Data'!$B$2,J143,H143)</f>
        <v/>
      </c>
      <c r="M143" s="112" t="str">
        <f>IF('Imperial Data'!$B$2,K143,I143)</f>
        <v/>
      </c>
      <c r="O143" s="32" t="str">
        <f t="shared" si="18"/>
        <v/>
      </c>
      <c r="Q143" s="112">
        <f t="shared" si="19"/>
        <v>-3.6666666666666616</v>
      </c>
      <c r="R143" s="32" t="str">
        <f t="shared" si="20"/>
        <v/>
      </c>
      <c r="S143" s="32" t="str">
        <f t="shared" si="21"/>
        <v/>
      </c>
      <c r="U143" s="32" t="str">
        <f t="shared" si="16"/>
        <v/>
      </c>
      <c r="W143" s="30" t="str" cm="1">
        <f t="array" ref="W143">IF($AO$21="INVERT",R143,IF(W142&gt;=$S$12,"",IF(R142="","",INDEX($R$18:$R$227,$U$17-ROWS($R$18:$R142)))))</f>
        <v/>
      </c>
      <c r="X143" s="30" t="str">
        <f t="shared" si="17"/>
        <v/>
      </c>
      <c r="Y143" s="30" t="str">
        <f>IF(Y142="","",IF($AO$21="TYP",IF(S142="","",INDEX($S$18:$S$227,$U$17-ROWS($S$18:$S142))),IF($AO$21="INVERT",S143,"")))</f>
        <v/>
      </c>
      <c r="Z143" s="75" t="str">
        <f t="shared" si="22"/>
        <v/>
      </c>
    </row>
    <row r="144" spans="1:26" x14ac:dyDescent="0.2">
      <c r="A144" s="32" t="str">
        <f t="shared" si="12"/>
        <v/>
      </c>
      <c r="C144" s="35" t="str">
        <f>IF(OR(C143=1,C143=""),"",'Imperial Calcs'!B140)</f>
        <v/>
      </c>
      <c r="D144" s="30" t="str">
        <f>IF(C144="","",'Imperial Calcs'!C140)</f>
        <v/>
      </c>
      <c r="E144" s="30" t="str">
        <f>IF(OR(C143=1,C143=""),"",IF('Imperial Data'!$B$2,'Imperial Calcs'!D140,'Imperial Calcs'!E140))</f>
        <v/>
      </c>
      <c r="F144" s="30" t="str">
        <f>IF(OR(C143=1,C143=""),"",IF('Imperial Data'!$B$2,'Imperial Calcs'!E140,'Imperial Calcs'!G140))</f>
        <v/>
      </c>
      <c r="G144" s="30" t="str">
        <f>IF(OR(C143=1,C143=""),"",IF('Imperial Data'!$B$2,'Imperial Calcs'!F140,'Imperial Calcs'!J140))</f>
        <v/>
      </c>
      <c r="H144" s="30" t="str">
        <f>IF(OR(C143=1,C143=""),"",IF('Imperial Data'!$B$2,'Imperial Calcs'!G140,'Imperial Calcs'!M140))</f>
        <v/>
      </c>
      <c r="I144" s="30" t="str">
        <f>IF(C144="","",IF('Imperial Data'!$B$2,'Imperial Calcs'!J140,'Imperial Calcs'!Y140))</f>
        <v/>
      </c>
      <c r="J144" s="30" t="str">
        <f>IF('Imperial Data'!$B$2,'Imperial Calcs'!M140,"")</f>
        <v/>
      </c>
      <c r="K144" s="30" t="str">
        <f>IF('Imperial Data'!$B$2,'Imperial Calcs'!Y140,"")</f>
        <v/>
      </c>
      <c r="L144" s="37" t="str">
        <f>IF('Imperial Data'!$B$2,J144,H144)</f>
        <v/>
      </c>
      <c r="M144" s="112" t="str">
        <f>IF('Imperial Data'!$B$2,K144,I144)</f>
        <v/>
      </c>
      <c r="O144" s="32" t="str">
        <f t="shared" si="18"/>
        <v/>
      </c>
      <c r="Q144" s="112">
        <f t="shared" si="19"/>
        <v>-3.7499999999999951</v>
      </c>
      <c r="R144" s="32" t="str">
        <f t="shared" si="20"/>
        <v/>
      </c>
      <c r="S144" s="32" t="str">
        <f t="shared" si="21"/>
        <v/>
      </c>
      <c r="U144" s="32" t="str">
        <f t="shared" si="16"/>
        <v/>
      </c>
      <c r="W144" s="30" t="str" cm="1">
        <f t="array" ref="W144">IF($AO$21="INVERT",R144,IF(W143&gt;=$S$12,"",IF(R143="","",INDEX($R$18:$R$227,$U$17-ROWS($R$18:$R143)))))</f>
        <v/>
      </c>
      <c r="X144" s="30" t="str">
        <f t="shared" si="17"/>
        <v/>
      </c>
      <c r="Y144" s="30" t="str">
        <f>IF(Y143="","",IF($AO$21="TYP",IF(S143="","",INDEX($S$18:$S$227,$U$17-ROWS($S$18:$S143))),IF($AO$21="INVERT",S144,"")))</f>
        <v/>
      </c>
      <c r="Z144" s="75" t="str">
        <f t="shared" si="22"/>
        <v/>
      </c>
    </row>
    <row r="145" spans="1:26" x14ac:dyDescent="0.2">
      <c r="A145" s="32" t="str">
        <f t="shared" si="12"/>
        <v/>
      </c>
      <c r="C145" s="35" t="str">
        <f>IF(OR(C144=1,C144=""),"",'Imperial Calcs'!B141)</f>
        <v/>
      </c>
      <c r="D145" s="30" t="str">
        <f>IF(C145="","",'Imperial Calcs'!C141)</f>
        <v/>
      </c>
      <c r="E145" s="30" t="str">
        <f>IF(OR(C144=1,C144=""),"",IF('Imperial Data'!$B$2,'Imperial Calcs'!D141,'Imperial Calcs'!E141))</f>
        <v/>
      </c>
      <c r="F145" s="30" t="str">
        <f>IF(OR(C144=1,C144=""),"",IF('Imperial Data'!$B$2,'Imperial Calcs'!E141,'Imperial Calcs'!G141))</f>
        <v/>
      </c>
      <c r="G145" s="30" t="str">
        <f>IF(OR(C144=1,C144=""),"",IF('Imperial Data'!$B$2,'Imperial Calcs'!F141,'Imperial Calcs'!J141))</f>
        <v/>
      </c>
      <c r="H145" s="30" t="str">
        <f>IF(OR(C144=1,C144=""),"",IF('Imperial Data'!$B$2,'Imperial Calcs'!G141,'Imperial Calcs'!M141))</f>
        <v/>
      </c>
      <c r="I145" s="30" t="str">
        <f>IF(C145="","",IF('Imperial Data'!$B$2,'Imperial Calcs'!J141,'Imperial Calcs'!Y141))</f>
        <v/>
      </c>
      <c r="J145" s="30" t="str">
        <f>IF('Imperial Data'!$B$2,'Imperial Calcs'!M141,"")</f>
        <v/>
      </c>
      <c r="K145" s="30" t="str">
        <f>IF('Imperial Data'!$B$2,'Imperial Calcs'!Y141,"")</f>
        <v/>
      </c>
      <c r="L145" s="37" t="str">
        <f>IF('Imperial Data'!$B$2,J145,H145)</f>
        <v/>
      </c>
      <c r="M145" s="112" t="str">
        <f>IF('Imperial Data'!$B$2,K145,I145)</f>
        <v/>
      </c>
      <c r="O145" s="32" t="str">
        <f t="shared" si="18"/>
        <v/>
      </c>
      <c r="Q145" s="112">
        <f t="shared" si="19"/>
        <v>-3.8333333333333286</v>
      </c>
      <c r="R145" s="32" t="str">
        <f t="shared" si="20"/>
        <v/>
      </c>
      <c r="S145" s="32" t="str">
        <f t="shared" si="21"/>
        <v/>
      </c>
      <c r="U145" s="32" t="str">
        <f t="shared" si="16"/>
        <v/>
      </c>
      <c r="W145" s="30" t="str" cm="1">
        <f t="array" ref="W145">IF($AO$21="INVERT",R145,IF(W144&gt;=$S$12,"",IF(R144="","",INDEX($R$18:$R$227,$U$17-ROWS($R$18:$R144)))))</f>
        <v/>
      </c>
      <c r="X145" s="30" t="str">
        <f t="shared" si="17"/>
        <v/>
      </c>
      <c r="Y145" s="30" t="str">
        <f>IF(Y144="","",IF($AO$21="TYP",IF(S144="","",INDEX($S$18:$S$227,$U$17-ROWS($S$18:$S144))),IF($AO$21="INVERT",S145,"")))</f>
        <v/>
      </c>
      <c r="Z145" s="75" t="str">
        <f t="shared" si="22"/>
        <v/>
      </c>
    </row>
    <row r="146" spans="1:26" x14ac:dyDescent="0.2">
      <c r="A146" s="32" t="str">
        <f t="shared" ref="A146:A209" si="23">IF(C146&lt;&gt;"",A145+1,"")</f>
        <v/>
      </c>
      <c r="C146" s="35" t="str">
        <f>IF(OR(C145=1,C145=""),"",'Imperial Calcs'!B142)</f>
        <v/>
      </c>
      <c r="D146" s="30" t="str">
        <f>IF(C146="","",'Imperial Calcs'!C142)</f>
        <v/>
      </c>
      <c r="E146" s="30" t="str">
        <f>IF(OR(C145=1,C145=""),"",IF('Imperial Data'!$B$2,'Imperial Calcs'!D142,'Imperial Calcs'!E142))</f>
        <v/>
      </c>
      <c r="F146" s="30" t="str">
        <f>IF(OR(C145=1,C145=""),"",IF('Imperial Data'!$B$2,'Imperial Calcs'!E142,'Imperial Calcs'!G142))</f>
        <v/>
      </c>
      <c r="G146" s="30" t="str">
        <f>IF(OR(C145=1,C145=""),"",IF('Imperial Data'!$B$2,'Imperial Calcs'!F142,'Imperial Calcs'!J142))</f>
        <v/>
      </c>
      <c r="H146" s="30" t="str">
        <f>IF(OR(C145=1,C145=""),"",IF('Imperial Data'!$B$2,'Imperial Calcs'!G142,'Imperial Calcs'!M142))</f>
        <v/>
      </c>
      <c r="I146" s="30" t="str">
        <f>IF(C146="","",IF('Imperial Data'!$B$2,'Imperial Calcs'!J142,'Imperial Calcs'!Y142))</f>
        <v/>
      </c>
      <c r="J146" s="30" t="str">
        <f>IF('Imperial Data'!$B$2,'Imperial Calcs'!M142,"")</f>
        <v/>
      </c>
      <c r="K146" s="30" t="str">
        <f>IF('Imperial Data'!$B$2,'Imperial Calcs'!Y142,"")</f>
        <v/>
      </c>
      <c r="L146" s="37" t="str">
        <f>IF('Imperial Data'!$B$2,J146,H146)</f>
        <v/>
      </c>
      <c r="M146" s="112" t="str">
        <f>IF('Imperial Data'!$B$2,K146,I146)</f>
        <v/>
      </c>
      <c r="O146" s="32" t="str">
        <f t="shared" si="18"/>
        <v/>
      </c>
      <c r="Q146" s="112">
        <f t="shared" si="19"/>
        <v>-3.9166666666666621</v>
      </c>
      <c r="R146" s="32" t="str">
        <f t="shared" ref="R146:R177" si="24">IF(AND(C146="",C145=1),0,IF(C146="","",IF(OR(Q146=0,Q146&gt;0),Q146,"")))</f>
        <v/>
      </c>
      <c r="S146" s="32" t="str">
        <f t="shared" ref="S146:S177" si="25">IF(R146="","",IF(R146=0,L145/$U$11,IF(ISNUMBER(O147),(L146-L147)/(M146-M147),S145)))</f>
        <v/>
      </c>
      <c r="U146" s="32" t="str">
        <f t="shared" si="16"/>
        <v/>
      </c>
      <c r="W146" s="30" t="str" cm="1">
        <f t="array" ref="W146">IF($AO$21="INVERT",R146,IF(W145&gt;=$S$12,"",IF(R145="","",INDEX($R$18:$R$227,$U$17-ROWS($R$18:$R145)))))</f>
        <v/>
      </c>
      <c r="X146" s="30" t="str">
        <f t="shared" si="17"/>
        <v/>
      </c>
      <c r="Y146" s="30" t="str">
        <f>IF(Y145="","",IF($AO$21="TYP",IF(S145="","",INDEX($S$18:$S$227,$U$17-ROWS($S$18:$S145))),IF($AO$21="INVERT",S146,"")))</f>
        <v/>
      </c>
      <c r="Z146" s="75" t="str">
        <f t="shared" ref="Z146:Z177" si="26">IF(Y146="","",Y146/43560)</f>
        <v/>
      </c>
    </row>
    <row r="147" spans="1:26" x14ac:dyDescent="0.2">
      <c r="A147" s="32" t="str">
        <f t="shared" si="23"/>
        <v/>
      </c>
      <c r="C147" s="35" t="str">
        <f>IF(OR(C146=1,C146=""),"",'Imperial Calcs'!B143)</f>
        <v/>
      </c>
      <c r="D147" s="30" t="str">
        <f>IF(C147="","",'Imperial Calcs'!C143)</f>
        <v/>
      </c>
      <c r="E147" s="30" t="str">
        <f>IF(OR(C146=1,C146=""),"",IF('Imperial Data'!$B$2,'Imperial Calcs'!D143,'Imperial Calcs'!E143))</f>
        <v/>
      </c>
      <c r="F147" s="30" t="str">
        <f>IF(OR(C146=1,C146=""),"",IF('Imperial Data'!$B$2,'Imperial Calcs'!E143,'Imperial Calcs'!G143))</f>
        <v/>
      </c>
      <c r="G147" s="30" t="str">
        <f>IF(OR(C146=1,C146=""),"",IF('Imperial Data'!$B$2,'Imperial Calcs'!F143,'Imperial Calcs'!J143))</f>
        <v/>
      </c>
      <c r="H147" s="30" t="str">
        <f>IF(OR(C146=1,C146=""),"",IF('Imperial Data'!$B$2,'Imperial Calcs'!G143,'Imperial Calcs'!M143))</f>
        <v/>
      </c>
      <c r="I147" s="30" t="str">
        <f>IF(C147="","",IF('Imperial Data'!$B$2,'Imperial Calcs'!J143,'Imperial Calcs'!Y143))</f>
        <v/>
      </c>
      <c r="J147" s="30" t="str">
        <f>IF('Imperial Data'!$B$2,'Imperial Calcs'!M143,"")</f>
        <v/>
      </c>
      <c r="K147" s="30" t="str">
        <f>IF('Imperial Data'!$B$2,'Imperial Calcs'!Y143,"")</f>
        <v/>
      </c>
      <c r="L147" s="37" t="str">
        <f>IF('Imperial Data'!$B$2,J147,H147)</f>
        <v/>
      </c>
      <c r="M147" s="112" t="str">
        <f>IF('Imperial Data'!$B$2,K147,I147)</f>
        <v/>
      </c>
      <c r="O147" s="32" t="str">
        <f t="shared" si="18"/>
        <v/>
      </c>
      <c r="Q147" s="112">
        <f t="shared" si="19"/>
        <v>-3.9999999999999956</v>
      </c>
      <c r="R147" s="32" t="str">
        <f t="shared" si="24"/>
        <v/>
      </c>
      <c r="S147" s="32" t="str">
        <f t="shared" si="25"/>
        <v/>
      </c>
      <c r="U147" s="32" t="str">
        <f t="shared" ref="U147:U199" si="27">IF(R147="","",1)</f>
        <v/>
      </c>
      <c r="W147" s="30" t="str" cm="1">
        <f t="array" ref="W147">IF($AO$21="INVERT",R147,IF(W146&gt;=$S$12,"",IF(R146="","",INDEX($R$18:$R$227,$U$17-ROWS($R$18:$R146)))))</f>
        <v/>
      </c>
      <c r="X147" s="30" t="str">
        <f t="shared" ref="X147:X199" si="28">IF(W147="","",$F$9+W147)</f>
        <v/>
      </c>
      <c r="Y147" s="30" t="str">
        <f>IF(Y146="","",IF($AO$21="TYP",IF(S146="","",INDEX($S$18:$S$227,$U$17-ROWS($S$18:$S146))),IF($AO$21="INVERT",S147,"")))</f>
        <v/>
      </c>
      <c r="Z147" s="75" t="str">
        <f t="shared" si="26"/>
        <v/>
      </c>
    </row>
    <row r="148" spans="1:26" x14ac:dyDescent="0.2">
      <c r="A148" s="32" t="str">
        <f t="shared" si="23"/>
        <v/>
      </c>
      <c r="C148" s="35" t="str">
        <f>IF(OR(C147=1,C147=""),"",'Imperial Calcs'!B144)</f>
        <v/>
      </c>
      <c r="D148" s="30" t="str">
        <f>IF(C148="","",'Imperial Calcs'!C144)</f>
        <v/>
      </c>
      <c r="E148" s="30" t="str">
        <f>IF(OR(C147=1,C147=""),"",IF('Imperial Data'!$B$2,'Imperial Calcs'!D144,'Imperial Calcs'!E144))</f>
        <v/>
      </c>
      <c r="F148" s="30" t="str">
        <f>IF(OR(C147=1,C147=""),"",IF('Imperial Data'!$B$2,'Imperial Calcs'!E144,'Imperial Calcs'!G144))</f>
        <v/>
      </c>
      <c r="G148" s="30" t="str">
        <f>IF(OR(C147=1,C147=""),"",IF('Imperial Data'!$B$2,'Imperial Calcs'!F144,'Imperial Calcs'!J144))</f>
        <v/>
      </c>
      <c r="H148" s="30" t="str">
        <f>IF(OR(C147=1,C147=""),"",IF('Imperial Data'!$B$2,'Imperial Calcs'!G144,'Imperial Calcs'!M144))</f>
        <v/>
      </c>
      <c r="I148" s="30" t="str">
        <f>IF(C148="","",IF('Imperial Data'!$B$2,'Imperial Calcs'!J144,'Imperial Calcs'!Y144))</f>
        <v/>
      </c>
      <c r="J148" s="30" t="str">
        <f>IF('Imperial Data'!$B$2,'Imperial Calcs'!M144,"")</f>
        <v/>
      </c>
      <c r="K148" s="30" t="str">
        <f>IF('Imperial Data'!$B$2,'Imperial Calcs'!Y144,"")</f>
        <v/>
      </c>
      <c r="L148" s="37" t="str">
        <f>IF('Imperial Data'!$B$2,J148,H148)</f>
        <v/>
      </c>
      <c r="M148" s="112" t="str">
        <f>IF('Imperial Data'!$B$2,K148,I148)</f>
        <v/>
      </c>
      <c r="O148" s="32" t="str">
        <f t="shared" ref="O148:O199" si="29">IF(M149="",IF(M148="","",$F$9),M148)</f>
        <v/>
      </c>
      <c r="Q148" s="112">
        <f t="shared" ref="Q148:Q199" si="30">Q147-($U$11)</f>
        <v>-4.0833333333333286</v>
      </c>
      <c r="R148" s="32" t="str">
        <f t="shared" si="24"/>
        <v/>
      </c>
      <c r="S148" s="32" t="str">
        <f t="shared" si="25"/>
        <v/>
      </c>
      <c r="U148" s="32" t="str">
        <f t="shared" si="27"/>
        <v/>
      </c>
      <c r="W148" s="30" t="str" cm="1">
        <f t="array" ref="W148">IF($AO$21="INVERT",R148,IF(W147&gt;=$S$12,"",IF(R147="","",INDEX($R$18:$R$227,$U$17-ROWS($R$18:$R147)))))</f>
        <v/>
      </c>
      <c r="X148" s="30" t="str">
        <f t="shared" si="28"/>
        <v/>
      </c>
      <c r="Y148" s="30" t="str">
        <f>IF(Y147="","",IF($AO$21="TYP",IF(S147="","",INDEX($S$18:$S$227,$U$17-ROWS($S$18:$S147))),IF($AO$21="INVERT",S148,"")))</f>
        <v/>
      </c>
      <c r="Z148" s="75" t="str">
        <f t="shared" si="26"/>
        <v/>
      </c>
    </row>
    <row r="149" spans="1:26" x14ac:dyDescent="0.2">
      <c r="A149" s="32" t="str">
        <f t="shared" si="23"/>
        <v/>
      </c>
      <c r="C149" s="35" t="str">
        <f>IF(OR(C148=1,C148=""),"",'Imperial Calcs'!B145)</f>
        <v/>
      </c>
      <c r="D149" s="30" t="str">
        <f>IF(C149="","",'Imperial Calcs'!C145)</f>
        <v/>
      </c>
      <c r="E149" s="30" t="str">
        <f>IF(OR(C148=1,C148=""),"",IF('Imperial Data'!$B$2,'Imperial Calcs'!D145,'Imperial Calcs'!E145))</f>
        <v/>
      </c>
      <c r="F149" s="30" t="str">
        <f>IF(OR(C148=1,C148=""),"",IF('Imperial Data'!$B$2,'Imperial Calcs'!E145,'Imperial Calcs'!G145))</f>
        <v/>
      </c>
      <c r="G149" s="30" t="str">
        <f>IF(OR(C148=1,C148=""),"",IF('Imperial Data'!$B$2,'Imperial Calcs'!F145,'Imperial Calcs'!J145))</f>
        <v/>
      </c>
      <c r="H149" s="30" t="str">
        <f>IF(OR(C148=1,C148=""),"",IF('Imperial Data'!$B$2,'Imperial Calcs'!G145,'Imperial Calcs'!M145))</f>
        <v/>
      </c>
      <c r="I149" s="30" t="str">
        <f>IF(C149="","",IF('Imperial Data'!$B$2,'Imperial Calcs'!J145,'Imperial Calcs'!Y145))</f>
        <v/>
      </c>
      <c r="J149" s="30" t="str">
        <f>IF('Imperial Data'!$B$2,'Imperial Calcs'!M145,"")</f>
        <v/>
      </c>
      <c r="K149" s="30" t="str">
        <f>IF('Imperial Data'!$B$2,'Imperial Calcs'!Y145,"")</f>
        <v/>
      </c>
      <c r="L149" s="37" t="str">
        <f>IF('Imperial Data'!$B$2,J149,H149)</f>
        <v/>
      </c>
      <c r="M149" s="112" t="str">
        <f>IF('Imperial Data'!$B$2,K149,I149)</f>
        <v/>
      </c>
      <c r="O149" s="32" t="str">
        <f t="shared" si="29"/>
        <v/>
      </c>
      <c r="Q149" s="112">
        <f t="shared" si="30"/>
        <v>-4.1666666666666616</v>
      </c>
      <c r="R149" s="32" t="str">
        <f t="shared" si="24"/>
        <v/>
      </c>
      <c r="S149" s="32" t="str">
        <f t="shared" si="25"/>
        <v/>
      </c>
      <c r="U149" s="32" t="str">
        <f t="shared" si="27"/>
        <v/>
      </c>
      <c r="W149" s="30" t="str" cm="1">
        <f t="array" ref="W149">IF($AO$21="INVERT",R149,IF(W148&gt;=$S$12,"",IF(R148="","",INDEX($R$18:$R$227,$U$17-ROWS($R$18:$R148)))))</f>
        <v/>
      </c>
      <c r="X149" s="30" t="str">
        <f t="shared" si="28"/>
        <v/>
      </c>
      <c r="Y149" s="30" t="str">
        <f>IF(Y148="","",IF($AO$21="TYP",IF(S148="","",INDEX($S$18:$S$227,$U$17-ROWS($S$18:$S148))),IF($AO$21="INVERT",S149,"")))</f>
        <v/>
      </c>
      <c r="Z149" s="75" t="str">
        <f t="shared" si="26"/>
        <v/>
      </c>
    </row>
    <row r="150" spans="1:26" x14ac:dyDescent="0.2">
      <c r="A150" s="32" t="str">
        <f t="shared" si="23"/>
        <v/>
      </c>
      <c r="C150" s="35" t="str">
        <f>IF(OR(C149=1,C149=""),"",'Imperial Calcs'!B146)</f>
        <v/>
      </c>
      <c r="D150" s="30" t="str">
        <f>IF(C150="","",'Imperial Calcs'!C146)</f>
        <v/>
      </c>
      <c r="E150" s="30" t="str">
        <f>IF(OR(C149=1,C149=""),"",IF('Imperial Data'!$B$2,'Imperial Calcs'!D146,'Imperial Calcs'!E146))</f>
        <v/>
      </c>
      <c r="F150" s="30" t="str">
        <f>IF(OR(C149=1,C149=""),"",IF('Imperial Data'!$B$2,'Imperial Calcs'!E146,'Imperial Calcs'!G146))</f>
        <v/>
      </c>
      <c r="G150" s="30" t="str">
        <f>IF(OR(C149=1,C149=""),"",IF('Imperial Data'!$B$2,'Imperial Calcs'!F146,'Imperial Calcs'!J146))</f>
        <v/>
      </c>
      <c r="H150" s="30" t="str">
        <f>IF(OR(C149=1,C149=""),"",IF('Imperial Data'!$B$2,'Imperial Calcs'!G146,'Imperial Calcs'!M146))</f>
        <v/>
      </c>
      <c r="I150" s="30" t="str">
        <f>IF(C150="","",IF('Imperial Data'!$B$2,'Imperial Calcs'!J146,'Imperial Calcs'!Y146))</f>
        <v/>
      </c>
      <c r="J150" s="30" t="str">
        <f>IF('Imperial Data'!$B$2,'Imperial Calcs'!M146,"")</f>
        <v/>
      </c>
      <c r="K150" s="30" t="str">
        <f>IF('Imperial Data'!$B$2,'Imperial Calcs'!Y146,"")</f>
        <v/>
      </c>
      <c r="L150" s="37" t="str">
        <f>IF('Imperial Data'!$B$2,J150,H150)</f>
        <v/>
      </c>
      <c r="M150" s="112" t="str">
        <f>IF('Imperial Data'!$B$2,K150,I150)</f>
        <v/>
      </c>
      <c r="O150" s="32" t="str">
        <f t="shared" si="29"/>
        <v/>
      </c>
      <c r="Q150" s="112">
        <f t="shared" si="30"/>
        <v>-4.2499999999999947</v>
      </c>
      <c r="R150" s="32" t="str">
        <f t="shared" si="24"/>
        <v/>
      </c>
      <c r="S150" s="32" t="str">
        <f t="shared" si="25"/>
        <v/>
      </c>
      <c r="U150" s="32" t="str">
        <f t="shared" si="27"/>
        <v/>
      </c>
      <c r="W150" s="30" t="str" cm="1">
        <f t="array" ref="W150">IF($AO$21="INVERT",R150,IF(W149&gt;=$S$12,"",IF(R149="","",INDEX($R$18:$R$227,$U$17-ROWS($R$18:$R149)))))</f>
        <v/>
      </c>
      <c r="X150" s="30" t="str">
        <f t="shared" si="28"/>
        <v/>
      </c>
      <c r="Y150" s="30" t="str">
        <f>IF(Y149="","",IF($AO$21="TYP",IF(S149="","",INDEX($S$18:$S$227,$U$17-ROWS($S$18:$S149))),IF($AO$21="INVERT",S150,"")))</f>
        <v/>
      </c>
      <c r="Z150" s="75" t="str">
        <f t="shared" si="26"/>
        <v/>
      </c>
    </row>
    <row r="151" spans="1:26" x14ac:dyDescent="0.2">
      <c r="A151" s="32" t="str">
        <f t="shared" si="23"/>
        <v/>
      </c>
      <c r="C151" s="35" t="str">
        <f>IF(OR(C150=1,C150=""),"",'Imperial Calcs'!B147)</f>
        <v/>
      </c>
      <c r="D151" s="30" t="str">
        <f>IF(C151="","",'Imperial Calcs'!C147)</f>
        <v/>
      </c>
      <c r="E151" s="30" t="str">
        <f>IF(OR(C150=1,C150=""),"",IF('Imperial Data'!$B$2,'Imperial Calcs'!D147,'Imperial Calcs'!E147))</f>
        <v/>
      </c>
      <c r="F151" s="30" t="str">
        <f>IF(OR(C150=1,C150=""),"",IF('Imperial Data'!$B$2,'Imperial Calcs'!E147,'Imperial Calcs'!G147))</f>
        <v/>
      </c>
      <c r="G151" s="30" t="str">
        <f>IF(OR(C150=1,C150=""),"",IF('Imperial Data'!$B$2,'Imperial Calcs'!F147,'Imperial Calcs'!J147))</f>
        <v/>
      </c>
      <c r="H151" s="30" t="str">
        <f>IF(OR(C150=1,C150=""),"",IF('Imperial Data'!$B$2,'Imperial Calcs'!G147,'Imperial Calcs'!M147))</f>
        <v/>
      </c>
      <c r="I151" s="30" t="str">
        <f>IF(C151="","",IF('Imperial Data'!$B$2,'Imperial Calcs'!J147,'Imperial Calcs'!Y147))</f>
        <v/>
      </c>
      <c r="J151" s="30" t="str">
        <f>IF('Imperial Data'!$B$2,'Imperial Calcs'!M147,"")</f>
        <v/>
      </c>
      <c r="K151" s="30" t="str">
        <f>IF('Imperial Data'!$B$2,'Imperial Calcs'!Y147,"")</f>
        <v/>
      </c>
      <c r="L151" s="37" t="str">
        <f>IF('Imperial Data'!$B$2,J151,H151)</f>
        <v/>
      </c>
      <c r="M151" s="112" t="str">
        <f>IF('Imperial Data'!$B$2,K151,I151)</f>
        <v/>
      </c>
      <c r="O151" s="32" t="str">
        <f t="shared" si="29"/>
        <v/>
      </c>
      <c r="Q151" s="112">
        <f t="shared" si="30"/>
        <v>-4.3333333333333277</v>
      </c>
      <c r="R151" s="32" t="str">
        <f t="shared" si="24"/>
        <v/>
      </c>
      <c r="S151" s="32" t="str">
        <f t="shared" si="25"/>
        <v/>
      </c>
      <c r="U151" s="32" t="str">
        <f t="shared" si="27"/>
        <v/>
      </c>
      <c r="W151" s="30" t="str" cm="1">
        <f t="array" ref="W151">IF($AO$21="INVERT",R151,IF(W150&gt;=$S$12,"",IF(R150="","",INDEX($R$18:$R$227,$U$17-ROWS($R$18:$R150)))))</f>
        <v/>
      </c>
      <c r="X151" s="30" t="str">
        <f t="shared" si="28"/>
        <v/>
      </c>
      <c r="Y151" s="30" t="str">
        <f>IF(Y150="","",IF($AO$21="TYP",IF(S150="","",INDEX($S$18:$S$227,$U$17-ROWS($S$18:$S150))),IF($AO$21="INVERT",S151,"")))</f>
        <v/>
      </c>
      <c r="Z151" s="75" t="str">
        <f t="shared" si="26"/>
        <v/>
      </c>
    </row>
    <row r="152" spans="1:26" x14ac:dyDescent="0.2">
      <c r="A152" s="32" t="str">
        <f t="shared" si="23"/>
        <v/>
      </c>
      <c r="C152" s="35" t="str">
        <f>IF(OR(C151=1,C151=""),"",'Imperial Calcs'!B148)</f>
        <v/>
      </c>
      <c r="D152" s="30" t="str">
        <f>IF(C152="","",'Imperial Calcs'!C148)</f>
        <v/>
      </c>
      <c r="E152" s="30" t="str">
        <f>IF(OR(C151=1,C151=""),"",IF('Imperial Data'!$B$2,'Imperial Calcs'!D148,'Imperial Calcs'!E148))</f>
        <v/>
      </c>
      <c r="F152" s="30" t="str">
        <f>IF(OR(C151=1,C151=""),"",IF('Imperial Data'!$B$2,'Imperial Calcs'!E148,'Imperial Calcs'!G148))</f>
        <v/>
      </c>
      <c r="G152" s="30" t="str">
        <f>IF(OR(C151=1,C151=""),"",IF('Imperial Data'!$B$2,'Imperial Calcs'!F148,'Imperial Calcs'!J148))</f>
        <v/>
      </c>
      <c r="H152" s="30" t="str">
        <f>IF(OR(C151=1,C151=""),"",IF('Imperial Data'!$B$2,'Imperial Calcs'!G148,'Imperial Calcs'!M148))</f>
        <v/>
      </c>
      <c r="I152" s="30" t="str">
        <f>IF(C152="","",IF('Imperial Data'!$B$2,'Imperial Calcs'!J148,'Imperial Calcs'!Y148))</f>
        <v/>
      </c>
      <c r="J152" s="30" t="str">
        <f>IF('Imperial Data'!$B$2,'Imperial Calcs'!M148,"")</f>
        <v/>
      </c>
      <c r="K152" s="30" t="str">
        <f>IF('Imperial Data'!$B$2,'Imperial Calcs'!Y148,"")</f>
        <v/>
      </c>
      <c r="L152" s="37" t="str">
        <f>IF('Imperial Data'!$B$2,J152,H152)</f>
        <v/>
      </c>
      <c r="M152" s="112" t="str">
        <f>IF('Imperial Data'!$B$2,K152,I152)</f>
        <v/>
      </c>
      <c r="O152" s="32" t="str">
        <f t="shared" si="29"/>
        <v/>
      </c>
      <c r="Q152" s="112">
        <f t="shared" si="30"/>
        <v>-4.4166666666666607</v>
      </c>
      <c r="R152" s="32" t="str">
        <f t="shared" si="24"/>
        <v/>
      </c>
      <c r="S152" s="32" t="str">
        <f t="shared" si="25"/>
        <v/>
      </c>
      <c r="U152" s="32" t="str">
        <f t="shared" si="27"/>
        <v/>
      </c>
      <c r="W152" s="30" t="str" cm="1">
        <f t="array" ref="W152">IF($AO$21="INVERT",R152,IF(W151&gt;=$S$12,"",IF(R151="","",INDEX($R$18:$R$227,$U$17-ROWS($R$18:$R151)))))</f>
        <v/>
      </c>
      <c r="X152" s="30" t="str">
        <f t="shared" si="28"/>
        <v/>
      </c>
      <c r="Y152" s="30" t="str">
        <f>IF(Y151="","",IF($AO$21="TYP",IF(S151="","",INDEX($S$18:$S$227,$U$17-ROWS($S$18:$S151))),IF($AO$21="INVERT",S152,"")))</f>
        <v/>
      </c>
      <c r="Z152" s="75" t="str">
        <f t="shared" si="26"/>
        <v/>
      </c>
    </row>
    <row r="153" spans="1:26" x14ac:dyDescent="0.2">
      <c r="A153" s="32" t="str">
        <f t="shared" si="23"/>
        <v/>
      </c>
      <c r="C153" s="35" t="str">
        <f>IF(OR(C152=1,C152=""),"",'Imperial Calcs'!B149)</f>
        <v/>
      </c>
      <c r="D153" s="30" t="str">
        <f>IF(C153="","",'Imperial Calcs'!C149)</f>
        <v/>
      </c>
      <c r="E153" s="30" t="str">
        <f>IF(OR(C152=1,C152=""),"",IF('Imperial Data'!$B$2,'Imperial Calcs'!D149,'Imperial Calcs'!E149))</f>
        <v/>
      </c>
      <c r="F153" s="30" t="str">
        <f>IF(OR(C152=1,C152=""),"",IF('Imperial Data'!$B$2,'Imperial Calcs'!E149,'Imperial Calcs'!G149))</f>
        <v/>
      </c>
      <c r="G153" s="30" t="str">
        <f>IF(OR(C152=1,C152=""),"",IF('Imperial Data'!$B$2,'Imperial Calcs'!F149,'Imperial Calcs'!J149))</f>
        <v/>
      </c>
      <c r="H153" s="30" t="str">
        <f>IF(OR(C152=1,C152=""),"",IF('Imperial Data'!$B$2,'Imperial Calcs'!G149,'Imperial Calcs'!M149))</f>
        <v/>
      </c>
      <c r="I153" s="30" t="str">
        <f>IF(C153="","",IF('Imperial Data'!$B$2,'Imperial Calcs'!J149,'Imperial Calcs'!Y149))</f>
        <v/>
      </c>
      <c r="J153" s="30" t="str">
        <f>IF('Imperial Data'!$B$2,'Imperial Calcs'!M149,"")</f>
        <v/>
      </c>
      <c r="K153" s="30" t="str">
        <f>IF('Imperial Data'!$B$2,'Imperial Calcs'!Y149,"")</f>
        <v/>
      </c>
      <c r="L153" s="37" t="str">
        <f>IF('Imperial Data'!$B$2,J153,H153)</f>
        <v/>
      </c>
      <c r="M153" s="112" t="str">
        <f>IF('Imperial Data'!$B$2,K153,I153)</f>
        <v/>
      </c>
      <c r="O153" s="32" t="str">
        <f t="shared" si="29"/>
        <v/>
      </c>
      <c r="Q153" s="112">
        <f t="shared" si="30"/>
        <v>-4.4999999999999938</v>
      </c>
      <c r="R153" s="32" t="str">
        <f t="shared" si="24"/>
        <v/>
      </c>
      <c r="S153" s="32" t="str">
        <f t="shared" si="25"/>
        <v/>
      </c>
      <c r="U153" s="32" t="str">
        <f t="shared" si="27"/>
        <v/>
      </c>
      <c r="W153" s="30" t="str" cm="1">
        <f t="array" ref="W153">IF($AO$21="INVERT",R153,IF(W152&gt;=$S$12,"",IF(R152="","",INDEX($R$18:$R$227,$U$17-ROWS($R$18:$R152)))))</f>
        <v/>
      </c>
      <c r="X153" s="30" t="str">
        <f t="shared" si="28"/>
        <v/>
      </c>
      <c r="Y153" s="30" t="str">
        <f>IF(Y152="","",IF($AO$21="TYP",IF(S152="","",INDEX($S$18:$S$227,$U$17-ROWS($S$18:$S152))),IF($AO$21="INVERT",S153,"")))</f>
        <v/>
      </c>
      <c r="Z153" s="75" t="str">
        <f t="shared" si="26"/>
        <v/>
      </c>
    </row>
    <row r="154" spans="1:26" x14ac:dyDescent="0.2">
      <c r="A154" s="32" t="str">
        <f t="shared" si="23"/>
        <v/>
      </c>
      <c r="C154" s="35" t="str">
        <f>IF(OR(C153=1,C153=""),"",'Imperial Calcs'!B150)</f>
        <v/>
      </c>
      <c r="D154" s="30" t="str">
        <f>IF(C154="","",'Imperial Calcs'!C150)</f>
        <v/>
      </c>
      <c r="E154" s="30" t="str">
        <f>IF(OR(C153=1,C153=""),"",IF('Imperial Data'!$B$2,'Imperial Calcs'!D150,'Imperial Calcs'!E150))</f>
        <v/>
      </c>
      <c r="F154" s="30" t="str">
        <f>IF(OR(C153=1,C153=""),"",IF('Imperial Data'!$B$2,'Imperial Calcs'!E150,'Imperial Calcs'!G150))</f>
        <v/>
      </c>
      <c r="G154" s="30" t="str">
        <f>IF(OR(C153=1,C153=""),"",IF('Imperial Data'!$B$2,'Imperial Calcs'!F150,'Imperial Calcs'!J150))</f>
        <v/>
      </c>
      <c r="H154" s="30" t="str">
        <f>IF(OR(C153=1,C153=""),"",IF('Imperial Data'!$B$2,'Imperial Calcs'!G150,'Imperial Calcs'!M150))</f>
        <v/>
      </c>
      <c r="I154" s="30" t="str">
        <f>IF(C154="","",IF('Imperial Data'!$B$2,'Imperial Calcs'!J150,'Imperial Calcs'!Y150))</f>
        <v/>
      </c>
      <c r="J154" s="30" t="str">
        <f>IF('Imperial Data'!$B$2,'Imperial Calcs'!M150,"")</f>
        <v/>
      </c>
      <c r="K154" s="30" t="str">
        <f>IF('Imperial Data'!$B$2,'Imperial Calcs'!Y150,"")</f>
        <v/>
      </c>
      <c r="L154" s="37" t="str">
        <f>IF('Imperial Data'!$B$2,J154,H154)</f>
        <v/>
      </c>
      <c r="M154" s="112" t="str">
        <f>IF('Imperial Data'!$B$2,K154,I154)</f>
        <v/>
      </c>
      <c r="O154" s="32" t="str">
        <f t="shared" si="29"/>
        <v/>
      </c>
      <c r="Q154" s="112">
        <f t="shared" si="30"/>
        <v>-4.5833333333333268</v>
      </c>
      <c r="R154" s="32" t="str">
        <f t="shared" si="24"/>
        <v/>
      </c>
      <c r="S154" s="32" t="str">
        <f t="shared" si="25"/>
        <v/>
      </c>
      <c r="U154" s="32" t="str">
        <f t="shared" si="27"/>
        <v/>
      </c>
      <c r="W154" s="30" t="str" cm="1">
        <f t="array" ref="W154">IF($AO$21="INVERT",R154,IF(W153&gt;=$S$12,"",IF(R153="","",INDEX($R$18:$R$227,$U$17-ROWS($R$18:$R153)))))</f>
        <v/>
      </c>
      <c r="X154" s="30" t="str">
        <f t="shared" si="28"/>
        <v/>
      </c>
      <c r="Y154" s="30" t="str">
        <f>IF(Y153="","",IF($AO$21="TYP",IF(S153="","",INDEX($S$18:$S$227,$U$17-ROWS($S$18:$S153))),IF($AO$21="INVERT",S154,"")))</f>
        <v/>
      </c>
      <c r="Z154" s="75" t="str">
        <f t="shared" si="26"/>
        <v/>
      </c>
    </row>
    <row r="155" spans="1:26" x14ac:dyDescent="0.2">
      <c r="A155" s="32" t="str">
        <f t="shared" si="23"/>
        <v/>
      </c>
      <c r="C155" s="35" t="str">
        <f>IF(OR(C154=1,C154=""),"",'Imperial Calcs'!B151)</f>
        <v/>
      </c>
      <c r="D155" s="30" t="str">
        <f>IF(C155="","",'Imperial Calcs'!C151)</f>
        <v/>
      </c>
      <c r="E155" s="30" t="str">
        <f>IF(OR(C154=1,C154=""),"",IF('Imperial Data'!$B$2,'Imperial Calcs'!D151,'Imperial Calcs'!E151))</f>
        <v/>
      </c>
      <c r="F155" s="30" t="str">
        <f>IF(OR(C154=1,C154=""),"",IF('Imperial Data'!$B$2,'Imperial Calcs'!E151,'Imperial Calcs'!G151))</f>
        <v/>
      </c>
      <c r="G155" s="30" t="str">
        <f>IF(OR(C154=1,C154=""),"",IF('Imperial Data'!$B$2,'Imperial Calcs'!F151,'Imperial Calcs'!J151))</f>
        <v/>
      </c>
      <c r="H155" s="30" t="str">
        <f>IF(OR(C154=1,C154=""),"",IF('Imperial Data'!$B$2,'Imperial Calcs'!G151,'Imperial Calcs'!M151))</f>
        <v/>
      </c>
      <c r="I155" s="30" t="str">
        <f>IF(C155="","",IF('Imperial Data'!$B$2,'Imperial Calcs'!J151,'Imperial Calcs'!Y151))</f>
        <v/>
      </c>
      <c r="J155" s="30" t="str">
        <f>IF('Imperial Data'!$B$2,'Imperial Calcs'!M151,"")</f>
        <v/>
      </c>
      <c r="K155" s="30" t="str">
        <f>IF('Imperial Data'!$B$2,'Imperial Calcs'!Y151,"")</f>
        <v/>
      </c>
      <c r="L155" s="37" t="str">
        <f>IF('Imperial Data'!$B$2,J155,H155)</f>
        <v/>
      </c>
      <c r="M155" s="112" t="str">
        <f>IF('Imperial Data'!$B$2,K155,I155)</f>
        <v/>
      </c>
      <c r="O155" s="32" t="str">
        <f t="shared" si="29"/>
        <v/>
      </c>
      <c r="Q155" s="112">
        <f t="shared" si="30"/>
        <v>-4.6666666666666599</v>
      </c>
      <c r="R155" s="32" t="str">
        <f t="shared" si="24"/>
        <v/>
      </c>
      <c r="S155" s="32" t="str">
        <f t="shared" si="25"/>
        <v/>
      </c>
      <c r="U155" s="32" t="str">
        <f t="shared" si="27"/>
        <v/>
      </c>
      <c r="W155" s="30" t="str" cm="1">
        <f t="array" ref="W155">IF($AO$21="INVERT",R155,IF(W154&gt;=$S$12,"",IF(R154="","",INDEX($R$18:$R$227,$U$17-ROWS($R$18:$R154)))))</f>
        <v/>
      </c>
      <c r="X155" s="30" t="str">
        <f t="shared" si="28"/>
        <v/>
      </c>
      <c r="Y155" s="30" t="str">
        <f>IF(Y154="","",IF($AO$21="TYP",IF(S154="","",INDEX($S$18:$S$227,$U$17-ROWS($S$18:$S154))),IF($AO$21="INVERT",S155,"")))</f>
        <v/>
      </c>
      <c r="Z155" s="75" t="str">
        <f t="shared" si="26"/>
        <v/>
      </c>
    </row>
    <row r="156" spans="1:26" x14ac:dyDescent="0.2">
      <c r="A156" s="32" t="str">
        <f t="shared" si="23"/>
        <v/>
      </c>
      <c r="C156" s="35" t="str">
        <f>IF(OR(C155=1,C155=""),"",'Imperial Calcs'!B152)</f>
        <v/>
      </c>
      <c r="D156" s="30" t="str">
        <f>IF(C156="","",'Imperial Calcs'!C152)</f>
        <v/>
      </c>
      <c r="E156" s="30" t="str">
        <f>IF(OR(C155=1,C155=""),"",IF('Imperial Data'!$B$2,'Imperial Calcs'!D152,'Imperial Calcs'!E152))</f>
        <v/>
      </c>
      <c r="F156" s="30" t="str">
        <f>IF(OR(C155=1,C155=""),"",IF('Imperial Data'!$B$2,'Imperial Calcs'!E152,'Imperial Calcs'!G152))</f>
        <v/>
      </c>
      <c r="G156" s="30" t="str">
        <f>IF(OR(C155=1,C155=""),"",IF('Imperial Data'!$B$2,'Imperial Calcs'!F152,'Imperial Calcs'!J152))</f>
        <v/>
      </c>
      <c r="H156" s="30" t="str">
        <f>IF(OR(C155=1,C155=""),"",IF('Imperial Data'!$B$2,'Imperial Calcs'!G152,'Imperial Calcs'!M152))</f>
        <v/>
      </c>
      <c r="I156" s="30" t="str">
        <f>IF(C156="","",IF('Imperial Data'!$B$2,'Imperial Calcs'!J152,'Imperial Calcs'!Y152))</f>
        <v/>
      </c>
      <c r="J156" s="30" t="str">
        <f>IF('Imperial Data'!$B$2,'Imperial Calcs'!M152,"")</f>
        <v/>
      </c>
      <c r="K156" s="30" t="str">
        <f>IF('Imperial Data'!$B$2,'Imperial Calcs'!Y152,"")</f>
        <v/>
      </c>
      <c r="L156" s="37" t="str">
        <f>IF('Imperial Data'!$B$2,J156,H156)</f>
        <v/>
      </c>
      <c r="M156" s="112" t="str">
        <f>IF('Imperial Data'!$B$2,K156,I156)</f>
        <v/>
      </c>
      <c r="O156" s="32" t="str">
        <f t="shared" si="29"/>
        <v/>
      </c>
      <c r="Q156" s="112">
        <f t="shared" si="30"/>
        <v>-4.7499999999999929</v>
      </c>
      <c r="R156" s="32" t="str">
        <f t="shared" si="24"/>
        <v/>
      </c>
      <c r="S156" s="32" t="str">
        <f t="shared" si="25"/>
        <v/>
      </c>
      <c r="U156" s="32" t="str">
        <f t="shared" si="27"/>
        <v/>
      </c>
      <c r="W156" s="30" t="str" cm="1">
        <f t="array" ref="W156">IF($AO$21="INVERT",R156,IF(W155&gt;=$S$12,"",IF(R155="","",INDEX($R$18:$R$227,$U$17-ROWS($R$18:$R155)))))</f>
        <v/>
      </c>
      <c r="X156" s="30" t="str">
        <f t="shared" si="28"/>
        <v/>
      </c>
      <c r="Y156" s="30" t="str">
        <f>IF(Y155="","",IF($AO$21="TYP",IF(S155="","",INDEX($S$18:$S$227,$U$17-ROWS($S$18:$S155))),IF($AO$21="INVERT",S156,"")))</f>
        <v/>
      </c>
      <c r="Z156" s="75" t="str">
        <f t="shared" si="26"/>
        <v/>
      </c>
    </row>
    <row r="157" spans="1:26" x14ac:dyDescent="0.2">
      <c r="A157" s="32" t="str">
        <f t="shared" si="23"/>
        <v/>
      </c>
      <c r="C157" s="35" t="str">
        <f>IF(OR(C156=1,C156=""),"",'Imperial Calcs'!B153)</f>
        <v/>
      </c>
      <c r="D157" s="30" t="str">
        <f>IF(C157="","",'Imperial Calcs'!C153)</f>
        <v/>
      </c>
      <c r="E157" s="30" t="str">
        <f>IF(OR(C156=1,C156=""),"",IF('Imperial Data'!$B$2,'Imperial Calcs'!D153,'Imperial Calcs'!E153))</f>
        <v/>
      </c>
      <c r="F157" s="30" t="str">
        <f>IF(OR(C156=1,C156=""),"",IF('Imperial Data'!$B$2,'Imperial Calcs'!E153,'Imperial Calcs'!G153))</f>
        <v/>
      </c>
      <c r="G157" s="30" t="str">
        <f>IF(OR(C156=1,C156=""),"",IF('Imperial Data'!$B$2,'Imperial Calcs'!F153,'Imperial Calcs'!J153))</f>
        <v/>
      </c>
      <c r="H157" s="30" t="str">
        <f>IF(OR(C156=1,C156=""),"",IF('Imperial Data'!$B$2,'Imperial Calcs'!G153,'Imperial Calcs'!M153))</f>
        <v/>
      </c>
      <c r="I157" s="30" t="str">
        <f>IF(C157="","",IF('Imperial Data'!$B$2,'Imperial Calcs'!J153,'Imperial Calcs'!Y153))</f>
        <v/>
      </c>
      <c r="J157" s="30" t="str">
        <f>IF('Imperial Data'!$B$2,'Imperial Calcs'!M153,"")</f>
        <v/>
      </c>
      <c r="K157" s="30" t="str">
        <f>IF('Imperial Data'!$B$2,'Imperial Calcs'!Y153,"")</f>
        <v/>
      </c>
      <c r="L157" s="37" t="str">
        <f>IF('Imperial Data'!$B$2,J157,H157)</f>
        <v/>
      </c>
      <c r="M157" s="112" t="str">
        <f>IF('Imperial Data'!$B$2,K157,I157)</f>
        <v/>
      </c>
      <c r="O157" s="32" t="str">
        <f t="shared" si="29"/>
        <v/>
      </c>
      <c r="Q157" s="112">
        <f t="shared" si="30"/>
        <v>-4.8333333333333259</v>
      </c>
      <c r="R157" s="32" t="str">
        <f t="shared" si="24"/>
        <v/>
      </c>
      <c r="S157" s="32" t="str">
        <f t="shared" si="25"/>
        <v/>
      </c>
      <c r="U157" s="32" t="str">
        <f t="shared" si="27"/>
        <v/>
      </c>
      <c r="W157" s="30" t="str" cm="1">
        <f t="array" ref="W157">IF($AO$21="INVERT",R157,IF(W156&gt;=$S$12,"",IF(R156="","",INDEX($R$18:$R$227,$U$17-ROWS($R$18:$R156)))))</f>
        <v/>
      </c>
      <c r="X157" s="30" t="str">
        <f t="shared" si="28"/>
        <v/>
      </c>
      <c r="Y157" s="30" t="str">
        <f>IF(Y156="","",IF($AO$21="TYP",IF(S156="","",INDEX($S$18:$S$227,$U$17-ROWS($S$18:$S156))),IF($AO$21="INVERT",S157,"")))</f>
        <v/>
      </c>
      <c r="Z157" s="75" t="str">
        <f t="shared" si="26"/>
        <v/>
      </c>
    </row>
    <row r="158" spans="1:26" x14ac:dyDescent="0.2">
      <c r="A158" s="32" t="str">
        <f t="shared" si="23"/>
        <v/>
      </c>
      <c r="C158" s="35" t="str">
        <f>IF(OR(C157=1,C157=""),"",'Imperial Calcs'!B154)</f>
        <v/>
      </c>
      <c r="D158" s="30" t="str">
        <f>IF(C158="","",'Imperial Calcs'!C154)</f>
        <v/>
      </c>
      <c r="E158" s="30" t="str">
        <f>IF(OR(C157=1,C157=""),"",IF('Imperial Data'!$B$2,'Imperial Calcs'!D154,'Imperial Calcs'!E154))</f>
        <v/>
      </c>
      <c r="F158" s="30" t="str">
        <f>IF(OR(C157=1,C157=""),"",IF('Imperial Data'!$B$2,'Imperial Calcs'!E154,'Imperial Calcs'!G154))</f>
        <v/>
      </c>
      <c r="G158" s="30" t="str">
        <f>IF(OR(C157=1,C157=""),"",IF('Imperial Data'!$B$2,'Imperial Calcs'!F154,'Imperial Calcs'!J154))</f>
        <v/>
      </c>
      <c r="H158" s="30" t="str">
        <f>IF(OR(C157=1,C157=""),"",IF('Imperial Data'!$B$2,'Imperial Calcs'!G154,'Imperial Calcs'!M154))</f>
        <v/>
      </c>
      <c r="I158" s="30" t="str">
        <f>IF(C158="","",IF('Imperial Data'!$B$2,'Imperial Calcs'!J154,'Imperial Calcs'!Y154))</f>
        <v/>
      </c>
      <c r="J158" s="30" t="str">
        <f>IF('Imperial Data'!$B$2,'Imperial Calcs'!M154,"")</f>
        <v/>
      </c>
      <c r="K158" s="30" t="str">
        <f>IF('Imperial Data'!$B$2,'Imperial Calcs'!Y154,"")</f>
        <v/>
      </c>
      <c r="L158" s="37" t="str">
        <f>IF('Imperial Data'!$B$2,J158,H158)</f>
        <v/>
      </c>
      <c r="M158" s="112" t="str">
        <f>IF('Imperial Data'!$B$2,K158,I158)</f>
        <v/>
      </c>
      <c r="O158" s="32" t="str">
        <f t="shared" si="29"/>
        <v/>
      </c>
      <c r="Q158" s="112">
        <f t="shared" si="30"/>
        <v>-4.916666666666659</v>
      </c>
      <c r="R158" s="32" t="str">
        <f t="shared" si="24"/>
        <v/>
      </c>
      <c r="S158" s="32" t="str">
        <f t="shared" si="25"/>
        <v/>
      </c>
      <c r="U158" s="32" t="str">
        <f t="shared" si="27"/>
        <v/>
      </c>
      <c r="W158" s="30" t="str" cm="1">
        <f t="array" ref="W158">IF($AO$21="INVERT",R158,IF(W157&gt;=$S$12,"",IF(R157="","",INDEX($R$18:$R$227,$U$17-ROWS($R$18:$R157)))))</f>
        <v/>
      </c>
      <c r="X158" s="30" t="str">
        <f t="shared" si="28"/>
        <v/>
      </c>
      <c r="Y158" s="30" t="str">
        <f>IF(Y157="","",IF($AO$21="TYP",IF(S157="","",INDEX($S$18:$S$227,$U$17-ROWS($S$18:$S157))),IF($AO$21="INVERT",S158,"")))</f>
        <v/>
      </c>
      <c r="Z158" s="75" t="str">
        <f t="shared" si="26"/>
        <v/>
      </c>
    </row>
    <row r="159" spans="1:26" x14ac:dyDescent="0.2">
      <c r="A159" s="32" t="str">
        <f t="shared" si="23"/>
        <v/>
      </c>
      <c r="C159" s="35" t="str">
        <f>IF(OR(C158=1,C158=""),"",'Imperial Calcs'!B155)</f>
        <v/>
      </c>
      <c r="D159" s="30" t="str">
        <f>IF(C159="","",'Imperial Calcs'!C155)</f>
        <v/>
      </c>
      <c r="E159" s="30" t="str">
        <f>IF(OR(C158=1,C158=""),"",IF('Imperial Data'!$B$2,'Imperial Calcs'!D155,'Imperial Calcs'!E155))</f>
        <v/>
      </c>
      <c r="F159" s="30" t="str">
        <f>IF(OR(C158=1,C158=""),"",IF('Imperial Data'!$B$2,'Imperial Calcs'!E155,'Imperial Calcs'!G155))</f>
        <v/>
      </c>
      <c r="G159" s="30" t="str">
        <f>IF(OR(C158=1,C158=""),"",IF('Imperial Data'!$B$2,'Imperial Calcs'!F155,'Imperial Calcs'!J155))</f>
        <v/>
      </c>
      <c r="H159" s="30" t="str">
        <f>IF(OR(C158=1,C158=""),"",IF('Imperial Data'!$B$2,'Imperial Calcs'!G155,'Imperial Calcs'!M155))</f>
        <v/>
      </c>
      <c r="I159" s="30" t="str">
        <f>IF(C159="","",IF('Imperial Data'!$B$2,'Imperial Calcs'!J155,'Imperial Calcs'!Y155))</f>
        <v/>
      </c>
      <c r="J159" s="30" t="str">
        <f>IF('Imperial Data'!$B$2,'Imperial Calcs'!M155,"")</f>
        <v/>
      </c>
      <c r="K159" s="30" t="str">
        <f>IF('Imperial Data'!$B$2,'Imperial Calcs'!Y155,"")</f>
        <v/>
      </c>
      <c r="L159" s="37" t="str">
        <f>IF('Imperial Data'!$B$2,J159,H159)</f>
        <v/>
      </c>
      <c r="M159" s="112" t="str">
        <f>IF('Imperial Data'!$B$2,K159,I159)</f>
        <v/>
      </c>
      <c r="O159" s="32" t="str">
        <f t="shared" si="29"/>
        <v/>
      </c>
      <c r="Q159" s="112">
        <f t="shared" si="30"/>
        <v>-4.999999999999992</v>
      </c>
      <c r="R159" s="32" t="str">
        <f t="shared" si="24"/>
        <v/>
      </c>
      <c r="S159" s="32" t="str">
        <f t="shared" si="25"/>
        <v/>
      </c>
      <c r="U159" s="32" t="str">
        <f t="shared" si="27"/>
        <v/>
      </c>
      <c r="W159" s="30" t="str" cm="1">
        <f t="array" ref="W159">IF($AO$21="INVERT",R159,IF(W158&gt;=$S$12,"",IF(R158="","",INDEX($R$18:$R$227,$U$17-ROWS($R$18:$R158)))))</f>
        <v/>
      </c>
      <c r="X159" s="30" t="str">
        <f t="shared" si="28"/>
        <v/>
      </c>
      <c r="Y159" s="30" t="str">
        <f>IF(Y158="","",IF($AO$21="TYP",IF(S158="","",INDEX($S$18:$S$227,$U$17-ROWS($S$18:$S158))),IF($AO$21="INVERT",S159,"")))</f>
        <v/>
      </c>
      <c r="Z159" s="75" t="str">
        <f t="shared" si="26"/>
        <v/>
      </c>
    </row>
    <row r="160" spans="1:26" x14ac:dyDescent="0.2">
      <c r="A160" s="32" t="str">
        <f t="shared" si="23"/>
        <v/>
      </c>
      <c r="C160" s="35" t="str">
        <f>IF(OR(C159=1,C159=""),"",'Imperial Calcs'!B156)</f>
        <v/>
      </c>
      <c r="D160" s="30" t="str">
        <f>IF(C160="","",'Imperial Calcs'!C156)</f>
        <v/>
      </c>
      <c r="E160" s="30" t="str">
        <f>IF(OR(C159=1,C159=""),"",IF('Imperial Data'!$B$2,'Imperial Calcs'!D156,'Imperial Calcs'!E156))</f>
        <v/>
      </c>
      <c r="F160" s="30" t="str">
        <f>IF(OR(C159=1,C159=""),"",IF('Imperial Data'!$B$2,'Imperial Calcs'!E156,'Imperial Calcs'!G156))</f>
        <v/>
      </c>
      <c r="G160" s="30" t="str">
        <f>IF(OR(C159=1,C159=""),"",IF('Imperial Data'!$B$2,'Imperial Calcs'!F156,'Imperial Calcs'!J156))</f>
        <v/>
      </c>
      <c r="H160" s="30" t="str">
        <f>IF(OR(C159=1,C159=""),"",IF('Imperial Data'!$B$2,'Imperial Calcs'!G156,'Imperial Calcs'!M156))</f>
        <v/>
      </c>
      <c r="I160" s="30" t="str">
        <f>IF(C160="","",IF('Imperial Data'!$B$2,'Imperial Calcs'!J156,'Imperial Calcs'!Y156))</f>
        <v/>
      </c>
      <c r="J160" s="30" t="str">
        <f>IF('Imperial Data'!$B$2,'Imperial Calcs'!M156,"")</f>
        <v/>
      </c>
      <c r="K160" s="30" t="str">
        <f>IF('Imperial Data'!$B$2,'Imperial Calcs'!Y156,"")</f>
        <v/>
      </c>
      <c r="L160" s="37" t="str">
        <f>IF('Imperial Data'!$B$2,J160,H160)</f>
        <v/>
      </c>
      <c r="M160" s="112" t="str">
        <f>IF('Imperial Data'!$B$2,K160,I160)</f>
        <v/>
      </c>
      <c r="O160" s="32" t="str">
        <f t="shared" si="29"/>
        <v/>
      </c>
      <c r="Q160" s="112">
        <f t="shared" si="30"/>
        <v>-5.083333333333325</v>
      </c>
      <c r="R160" s="32" t="str">
        <f t="shared" si="24"/>
        <v/>
      </c>
      <c r="S160" s="32" t="str">
        <f t="shared" si="25"/>
        <v/>
      </c>
      <c r="U160" s="32" t="str">
        <f t="shared" si="27"/>
        <v/>
      </c>
      <c r="W160" s="30" t="str" cm="1">
        <f t="array" ref="W160">IF($AO$21="INVERT",R160,IF(W159&gt;=$S$12,"",IF(R159="","",INDEX($R$18:$R$227,$U$17-ROWS($R$18:$R159)))))</f>
        <v/>
      </c>
      <c r="X160" s="30" t="str">
        <f t="shared" si="28"/>
        <v/>
      </c>
      <c r="Y160" s="30" t="str">
        <f>IF(Y159="","",IF($AO$21="TYP",IF(S159="","",INDEX($S$18:$S$227,$U$17-ROWS($S$18:$S159))),IF($AO$21="INVERT",S160,"")))</f>
        <v/>
      </c>
      <c r="Z160" s="75" t="str">
        <f t="shared" si="26"/>
        <v/>
      </c>
    </row>
    <row r="161" spans="1:26" x14ac:dyDescent="0.2">
      <c r="A161" s="32" t="str">
        <f t="shared" si="23"/>
        <v/>
      </c>
      <c r="C161" s="35" t="str">
        <f>IF(OR(C160=1,C160=""),"",'Imperial Calcs'!B157)</f>
        <v/>
      </c>
      <c r="D161" s="30" t="str">
        <f>IF(C161="","",'Imperial Calcs'!C157)</f>
        <v/>
      </c>
      <c r="E161" s="30" t="str">
        <f>IF(OR(C160=1,C160=""),"",IF('Imperial Data'!$B$2,'Imperial Calcs'!D157,'Imperial Calcs'!E157))</f>
        <v/>
      </c>
      <c r="F161" s="30" t="str">
        <f>IF(OR(C160=1,C160=""),"",IF('Imperial Data'!$B$2,'Imperial Calcs'!E157,'Imperial Calcs'!G157))</f>
        <v/>
      </c>
      <c r="G161" s="30" t="str">
        <f>IF(OR(C160=1,C160=""),"",IF('Imperial Data'!$B$2,'Imperial Calcs'!F157,'Imperial Calcs'!J157))</f>
        <v/>
      </c>
      <c r="H161" s="30" t="str">
        <f>IF(OR(C160=1,C160=""),"",IF('Imperial Data'!$B$2,'Imperial Calcs'!G157,'Imperial Calcs'!M157))</f>
        <v/>
      </c>
      <c r="I161" s="30" t="str">
        <f>IF(C161="","",IF('Imperial Data'!$B$2,'Imperial Calcs'!J157,'Imperial Calcs'!Y157))</f>
        <v/>
      </c>
      <c r="J161" s="30" t="str">
        <f>IF('Imperial Data'!$B$2,'Imperial Calcs'!M157,"")</f>
        <v/>
      </c>
      <c r="K161" s="30" t="str">
        <f>IF('Imperial Data'!$B$2,'Imperial Calcs'!Y157,"")</f>
        <v/>
      </c>
      <c r="L161" s="37" t="str">
        <f>IF('Imperial Data'!$B$2,J161,H161)</f>
        <v/>
      </c>
      <c r="M161" s="112" t="str">
        <f>IF('Imperial Data'!$B$2,K161,I161)</f>
        <v/>
      </c>
      <c r="O161" s="32" t="str">
        <f t="shared" si="29"/>
        <v/>
      </c>
      <c r="Q161" s="112">
        <f t="shared" si="30"/>
        <v>-5.1666666666666581</v>
      </c>
      <c r="R161" s="32" t="str">
        <f t="shared" si="24"/>
        <v/>
      </c>
      <c r="S161" s="32" t="str">
        <f t="shared" si="25"/>
        <v/>
      </c>
      <c r="U161" s="32" t="str">
        <f t="shared" si="27"/>
        <v/>
      </c>
      <c r="W161" s="30" t="str" cm="1">
        <f t="array" ref="W161">IF($AO$21="INVERT",R161,IF(W160&gt;=$S$12,"",IF(R160="","",INDEX($R$18:$R$227,$U$17-ROWS($R$18:$R160)))))</f>
        <v/>
      </c>
      <c r="X161" s="30" t="str">
        <f t="shared" si="28"/>
        <v/>
      </c>
      <c r="Y161" s="30" t="str">
        <f>IF(Y160="","",IF($AO$21="TYP",IF(S160="","",INDEX($S$18:$S$227,$U$17-ROWS($S$18:$S160))),IF($AO$21="INVERT",S161,"")))</f>
        <v/>
      </c>
      <c r="Z161" s="75" t="str">
        <f t="shared" si="26"/>
        <v/>
      </c>
    </row>
    <row r="162" spans="1:26" x14ac:dyDescent="0.2">
      <c r="A162" s="32" t="str">
        <f t="shared" si="23"/>
        <v/>
      </c>
      <c r="C162" s="35" t="str">
        <f>IF(OR(C161=1,C161=""),"",'Imperial Calcs'!B158)</f>
        <v/>
      </c>
      <c r="D162" s="30" t="str">
        <f>IF(C162="","",'Imperial Calcs'!C158)</f>
        <v/>
      </c>
      <c r="E162" s="30" t="str">
        <f>IF(OR(C161=1,C161=""),"",IF('Imperial Data'!$B$2,'Imperial Calcs'!D158,'Imperial Calcs'!E158))</f>
        <v/>
      </c>
      <c r="F162" s="30" t="str">
        <f>IF(OR(C161=1,C161=""),"",IF('Imperial Data'!$B$2,'Imperial Calcs'!E158,'Imperial Calcs'!G158))</f>
        <v/>
      </c>
      <c r="G162" s="30" t="str">
        <f>IF(OR(C161=1,C161=""),"",IF('Imperial Data'!$B$2,'Imperial Calcs'!F158,'Imperial Calcs'!J158))</f>
        <v/>
      </c>
      <c r="H162" s="30" t="str">
        <f>IF(OR(C161=1,C161=""),"",IF('Imperial Data'!$B$2,'Imperial Calcs'!G158,'Imperial Calcs'!M158))</f>
        <v/>
      </c>
      <c r="I162" s="30" t="str">
        <f>IF(C162="","",IF('Imperial Data'!$B$2,'Imperial Calcs'!J158,'Imperial Calcs'!Y158))</f>
        <v/>
      </c>
      <c r="J162" s="30" t="str">
        <f>IF('Imperial Data'!$B$2,'Imperial Calcs'!M158,"")</f>
        <v/>
      </c>
      <c r="K162" s="30" t="str">
        <f>IF('Imperial Data'!$B$2,'Imperial Calcs'!Y158,"")</f>
        <v/>
      </c>
      <c r="L162" s="37" t="str">
        <f>IF('Imperial Data'!$B$2,J162,H162)</f>
        <v/>
      </c>
      <c r="M162" s="112" t="str">
        <f>IF('Imperial Data'!$B$2,K162,I162)</f>
        <v/>
      </c>
      <c r="O162" s="32" t="str">
        <f t="shared" si="29"/>
        <v/>
      </c>
      <c r="Q162" s="112">
        <f t="shared" si="30"/>
        <v>-5.2499999999999911</v>
      </c>
      <c r="R162" s="32" t="str">
        <f t="shared" si="24"/>
        <v/>
      </c>
      <c r="S162" s="32" t="str">
        <f t="shared" si="25"/>
        <v/>
      </c>
      <c r="U162" s="32" t="str">
        <f t="shared" si="27"/>
        <v/>
      </c>
      <c r="W162" s="30" t="str" cm="1">
        <f t="array" ref="W162">IF($AO$21="INVERT",R162,IF(W161&gt;=$S$12,"",IF(R161="","",INDEX($R$18:$R$227,$U$17-ROWS($R$18:$R161)))))</f>
        <v/>
      </c>
      <c r="X162" s="30" t="str">
        <f t="shared" si="28"/>
        <v/>
      </c>
      <c r="Y162" s="30" t="str">
        <f>IF(Y161="","",IF($AO$21="TYP",IF(S161="","",INDEX($S$18:$S$227,$U$17-ROWS($S$18:$S161))),IF($AO$21="INVERT",S162,"")))</f>
        <v/>
      </c>
      <c r="Z162" s="75" t="str">
        <f t="shared" si="26"/>
        <v/>
      </c>
    </row>
    <row r="163" spans="1:26" x14ac:dyDescent="0.2">
      <c r="A163" s="32" t="str">
        <f t="shared" si="23"/>
        <v/>
      </c>
      <c r="C163" s="35" t="str">
        <f>IF(OR(C162=1,C162=""),"",'Imperial Calcs'!B159)</f>
        <v/>
      </c>
      <c r="D163" s="30" t="str">
        <f>IF(C163="","",'Imperial Calcs'!C159)</f>
        <v/>
      </c>
      <c r="E163" s="30" t="str">
        <f>IF(OR(C162=1,C162=""),"",IF('Imperial Data'!$B$2,'Imperial Calcs'!D159,'Imperial Calcs'!E159))</f>
        <v/>
      </c>
      <c r="F163" s="30" t="str">
        <f>IF(OR(C162=1,C162=""),"",IF('Imperial Data'!$B$2,'Imperial Calcs'!E159,'Imperial Calcs'!G159))</f>
        <v/>
      </c>
      <c r="G163" s="30" t="str">
        <f>IF(OR(C162=1,C162=""),"",IF('Imperial Data'!$B$2,'Imperial Calcs'!F159,'Imperial Calcs'!J159))</f>
        <v/>
      </c>
      <c r="H163" s="30" t="str">
        <f>IF(OR(C162=1,C162=""),"",IF('Imperial Data'!$B$2,'Imperial Calcs'!G159,'Imperial Calcs'!M159))</f>
        <v/>
      </c>
      <c r="I163" s="30" t="str">
        <f>IF(C163="","",IF('Imperial Data'!$B$2,'Imperial Calcs'!J159,'Imperial Calcs'!Y159))</f>
        <v/>
      </c>
      <c r="J163" s="30" t="str">
        <f>IF('Imperial Data'!$B$2,'Imperial Calcs'!M159,"")</f>
        <v/>
      </c>
      <c r="K163" s="30" t="str">
        <f>IF('Imperial Data'!$B$2,'Imperial Calcs'!Y159,"")</f>
        <v/>
      </c>
      <c r="L163" s="37" t="str">
        <f>IF('Imperial Data'!$B$2,J163,H163)</f>
        <v/>
      </c>
      <c r="M163" s="112" t="str">
        <f>IF('Imperial Data'!$B$2,K163,I163)</f>
        <v/>
      </c>
      <c r="O163" s="32" t="str">
        <f t="shared" si="29"/>
        <v/>
      </c>
      <c r="Q163" s="112">
        <f t="shared" si="30"/>
        <v>-5.3333333333333242</v>
      </c>
      <c r="R163" s="32" t="str">
        <f t="shared" si="24"/>
        <v/>
      </c>
      <c r="S163" s="32" t="str">
        <f t="shared" si="25"/>
        <v/>
      </c>
      <c r="U163" s="32" t="str">
        <f t="shared" si="27"/>
        <v/>
      </c>
      <c r="W163" s="30" t="str" cm="1">
        <f t="array" ref="W163">IF($AO$21="INVERT",R163,IF(W162&gt;=$S$12,"",IF(R162="","",INDEX($R$18:$R$227,$U$17-ROWS($R$18:$R162)))))</f>
        <v/>
      </c>
      <c r="X163" s="30" t="str">
        <f t="shared" si="28"/>
        <v/>
      </c>
      <c r="Y163" s="30" t="str">
        <f>IF(Y162="","",IF($AO$21="TYP",IF(S162="","",INDEX($S$18:$S$227,$U$17-ROWS($S$18:$S162))),IF($AO$21="INVERT",S163,"")))</f>
        <v/>
      </c>
      <c r="Z163" s="75" t="str">
        <f t="shared" si="26"/>
        <v/>
      </c>
    </row>
    <row r="164" spans="1:26" x14ac:dyDescent="0.2">
      <c r="A164" s="32" t="str">
        <f t="shared" si="23"/>
        <v/>
      </c>
      <c r="C164" s="35" t="str">
        <f>IF(OR(C163=1,C163=""),"",'Imperial Calcs'!B160)</f>
        <v/>
      </c>
      <c r="D164" s="30" t="str">
        <f>IF(C164="","",'Imperial Calcs'!C160)</f>
        <v/>
      </c>
      <c r="E164" s="30" t="str">
        <f>IF(OR(C163=1,C163=""),"",IF('Imperial Data'!$B$2,'Imperial Calcs'!D160,'Imperial Calcs'!E160))</f>
        <v/>
      </c>
      <c r="F164" s="30" t="str">
        <f>IF(OR(C163=1,C163=""),"",IF('Imperial Data'!$B$2,'Imperial Calcs'!E160,'Imperial Calcs'!G160))</f>
        <v/>
      </c>
      <c r="G164" s="30" t="str">
        <f>IF(OR(C163=1,C163=""),"",IF('Imperial Data'!$B$2,'Imperial Calcs'!F160,'Imperial Calcs'!J160))</f>
        <v/>
      </c>
      <c r="H164" s="30" t="str">
        <f>IF(OR(C163=1,C163=""),"",IF('Imperial Data'!$B$2,'Imperial Calcs'!G160,'Imperial Calcs'!M160))</f>
        <v/>
      </c>
      <c r="I164" s="30" t="str">
        <f>IF(C164="","",IF('Imperial Data'!$B$2,'Imperial Calcs'!J160,'Imperial Calcs'!Y160))</f>
        <v/>
      </c>
      <c r="J164" s="30" t="str">
        <f>IF('Imperial Data'!$B$2,'Imperial Calcs'!M160,"")</f>
        <v/>
      </c>
      <c r="K164" s="30" t="str">
        <f>IF('Imperial Data'!$B$2,'Imperial Calcs'!Y160,"")</f>
        <v/>
      </c>
      <c r="L164" s="37" t="str">
        <f>IF('Imperial Data'!$B$2,J164,H164)</f>
        <v/>
      </c>
      <c r="M164" s="112" t="str">
        <f>IF('Imperial Data'!$B$2,K164,I164)</f>
        <v/>
      </c>
      <c r="O164" s="32" t="str">
        <f t="shared" si="29"/>
        <v/>
      </c>
      <c r="Q164" s="112">
        <f t="shared" si="30"/>
        <v>-5.4166666666666572</v>
      </c>
      <c r="R164" s="32" t="str">
        <f t="shared" si="24"/>
        <v/>
      </c>
      <c r="S164" s="32" t="str">
        <f t="shared" si="25"/>
        <v/>
      </c>
      <c r="U164" s="32" t="str">
        <f t="shared" si="27"/>
        <v/>
      </c>
      <c r="W164" s="30" t="str" cm="1">
        <f t="array" ref="W164">IF($AO$21="INVERT",R164,IF(W163&gt;=$S$12,"",IF(R163="","",INDEX($R$18:$R$227,$U$17-ROWS($R$18:$R163)))))</f>
        <v/>
      </c>
      <c r="X164" s="30" t="str">
        <f t="shared" si="28"/>
        <v/>
      </c>
      <c r="Y164" s="30" t="str">
        <f>IF(Y163="","",IF($AO$21="TYP",IF(S163="","",INDEX($S$18:$S$227,$U$17-ROWS($S$18:$S163))),IF($AO$21="INVERT",S164,"")))</f>
        <v/>
      </c>
      <c r="Z164" s="75" t="str">
        <f t="shared" si="26"/>
        <v/>
      </c>
    </row>
    <row r="165" spans="1:26" x14ac:dyDescent="0.2">
      <c r="A165" s="32" t="str">
        <f t="shared" si="23"/>
        <v/>
      </c>
      <c r="C165" s="35" t="str">
        <f>IF(OR(C164=1,C164=""),"",'Imperial Calcs'!B161)</f>
        <v/>
      </c>
      <c r="D165" s="30" t="str">
        <f>IF(C165="","",'Imperial Calcs'!C161)</f>
        <v/>
      </c>
      <c r="E165" s="30" t="str">
        <f>IF(OR(C164=1,C164=""),"",IF('Imperial Data'!$B$2,'Imperial Calcs'!D161,'Imperial Calcs'!E161))</f>
        <v/>
      </c>
      <c r="F165" s="30" t="str">
        <f>IF(OR(C164=1,C164=""),"",IF('Imperial Data'!$B$2,'Imperial Calcs'!E161,'Imperial Calcs'!G161))</f>
        <v/>
      </c>
      <c r="G165" s="30" t="str">
        <f>IF(OR(C164=1,C164=""),"",IF('Imperial Data'!$B$2,'Imperial Calcs'!F161,'Imperial Calcs'!J161))</f>
        <v/>
      </c>
      <c r="H165" s="30" t="str">
        <f>IF(OR(C164=1,C164=""),"",IF('Imperial Data'!$B$2,'Imperial Calcs'!G161,'Imperial Calcs'!M161))</f>
        <v/>
      </c>
      <c r="I165" s="30" t="str">
        <f>IF(C165="","",IF('Imperial Data'!$B$2,'Imperial Calcs'!J161,'Imperial Calcs'!Y161))</f>
        <v/>
      </c>
      <c r="J165" s="30" t="str">
        <f>IF('Imperial Data'!$B$2,'Imperial Calcs'!M161,"")</f>
        <v/>
      </c>
      <c r="K165" s="30" t="str">
        <f>IF('Imperial Data'!$B$2,'Imperial Calcs'!Y161,"")</f>
        <v/>
      </c>
      <c r="L165" s="37" t="str">
        <f>IF('Imperial Data'!$B$2,J165,H165)</f>
        <v/>
      </c>
      <c r="M165" s="112" t="str">
        <f>IF('Imperial Data'!$B$2,K165,I165)</f>
        <v/>
      </c>
      <c r="O165" s="32" t="str">
        <f t="shared" si="29"/>
        <v/>
      </c>
      <c r="Q165" s="112">
        <f t="shared" si="30"/>
        <v>-5.4999999999999902</v>
      </c>
      <c r="R165" s="32" t="str">
        <f t="shared" si="24"/>
        <v/>
      </c>
      <c r="S165" s="32" t="str">
        <f t="shared" si="25"/>
        <v/>
      </c>
      <c r="U165" s="32" t="str">
        <f t="shared" si="27"/>
        <v/>
      </c>
      <c r="W165" s="30" t="str" cm="1">
        <f t="array" ref="W165">IF($AO$21="INVERT",R165,IF(W164&gt;=$S$12,"",IF(R164="","",INDEX($R$18:$R$227,$U$17-ROWS($R$18:$R164)))))</f>
        <v/>
      </c>
      <c r="X165" s="30" t="str">
        <f t="shared" si="28"/>
        <v/>
      </c>
      <c r="Y165" s="30" t="str">
        <f>IF(Y164="","",IF($AO$21="TYP",IF(S164="","",INDEX($S$18:$S$227,$U$17-ROWS($S$18:$S164))),IF($AO$21="INVERT",S165,"")))</f>
        <v/>
      </c>
      <c r="Z165" s="75" t="str">
        <f t="shared" si="26"/>
        <v/>
      </c>
    </row>
    <row r="166" spans="1:26" x14ac:dyDescent="0.2">
      <c r="A166" s="32" t="str">
        <f t="shared" si="23"/>
        <v/>
      </c>
      <c r="C166" s="35" t="str">
        <f>IF(OR(C165=1,C165=""),"",'Imperial Calcs'!B162)</f>
        <v/>
      </c>
      <c r="D166" s="30" t="str">
        <f>IF(C166="","",'Imperial Calcs'!C162)</f>
        <v/>
      </c>
      <c r="E166" s="30" t="str">
        <f>IF(OR(C165=1,C165=""),"",IF('Imperial Data'!$B$2,'Imperial Calcs'!D162,'Imperial Calcs'!E162))</f>
        <v/>
      </c>
      <c r="F166" s="30" t="str">
        <f>IF(OR(C165=1,C165=""),"",IF('Imperial Data'!$B$2,'Imperial Calcs'!E162,'Imperial Calcs'!G162))</f>
        <v/>
      </c>
      <c r="G166" s="30" t="str">
        <f>IF(OR(C165=1,C165=""),"",IF('Imperial Data'!$B$2,'Imperial Calcs'!F162,'Imperial Calcs'!J162))</f>
        <v/>
      </c>
      <c r="H166" s="30" t="str">
        <f>IF(OR(C165=1,C165=""),"",IF('Imperial Data'!$B$2,'Imperial Calcs'!G162,'Imperial Calcs'!M162))</f>
        <v/>
      </c>
      <c r="I166" s="30" t="str">
        <f>IF(C166="","",IF('Imperial Data'!$B$2,'Imperial Calcs'!J162,'Imperial Calcs'!Y162))</f>
        <v/>
      </c>
      <c r="J166" s="30" t="str">
        <f>IF('Imperial Data'!$B$2,'Imperial Calcs'!M162,"")</f>
        <v/>
      </c>
      <c r="K166" s="30" t="str">
        <f>IF('Imperial Data'!$B$2,'Imperial Calcs'!Y162,"")</f>
        <v/>
      </c>
      <c r="L166" s="37" t="str">
        <f>IF('Imperial Data'!$B$2,J166,H166)</f>
        <v/>
      </c>
      <c r="M166" s="112" t="str">
        <f>IF('Imperial Data'!$B$2,K166,I166)</f>
        <v/>
      </c>
      <c r="O166" s="32" t="str">
        <f t="shared" si="29"/>
        <v/>
      </c>
      <c r="Q166" s="112">
        <f t="shared" si="30"/>
        <v>-5.5833333333333233</v>
      </c>
      <c r="R166" s="32" t="str">
        <f t="shared" si="24"/>
        <v/>
      </c>
      <c r="S166" s="32" t="str">
        <f t="shared" si="25"/>
        <v/>
      </c>
      <c r="U166" s="32" t="str">
        <f t="shared" si="27"/>
        <v/>
      </c>
      <c r="W166" s="30" t="str" cm="1">
        <f t="array" ref="W166">IF($AO$21="INVERT",R166,IF(W165&gt;=$S$12,"",IF(R165="","",INDEX($R$18:$R$227,$U$17-ROWS($R$18:$R165)))))</f>
        <v/>
      </c>
      <c r="X166" s="30" t="str">
        <f t="shared" si="28"/>
        <v/>
      </c>
      <c r="Y166" s="30" t="str">
        <f>IF(Y165="","",IF($AO$21="TYP",IF(S165="","",INDEX($S$18:$S$227,$U$17-ROWS($S$18:$S165))),IF($AO$21="INVERT",S166,"")))</f>
        <v/>
      </c>
      <c r="Z166" s="75" t="str">
        <f t="shared" si="26"/>
        <v/>
      </c>
    </row>
    <row r="167" spans="1:26" x14ac:dyDescent="0.2">
      <c r="A167" s="32" t="str">
        <f t="shared" si="23"/>
        <v/>
      </c>
      <c r="C167" s="35" t="str">
        <f>IF(OR(C166=1,C166=""),"",'Imperial Calcs'!B163)</f>
        <v/>
      </c>
      <c r="D167" s="30" t="str">
        <f>IF(C167="","",'Imperial Calcs'!C163)</f>
        <v/>
      </c>
      <c r="E167" s="30" t="str">
        <f>IF(OR(C166=1,C166=""),"",IF('Imperial Data'!$B$2,'Imperial Calcs'!D163,'Imperial Calcs'!E163))</f>
        <v/>
      </c>
      <c r="F167" s="30" t="str">
        <f>IF(OR(C166=1,C166=""),"",IF('Imperial Data'!$B$2,'Imperial Calcs'!E163,'Imperial Calcs'!G163))</f>
        <v/>
      </c>
      <c r="G167" s="30" t="str">
        <f>IF(OR(C166=1,C166=""),"",IF('Imperial Data'!$B$2,'Imperial Calcs'!F163,'Imperial Calcs'!J163))</f>
        <v/>
      </c>
      <c r="H167" s="30" t="str">
        <f>IF(OR(C166=1,C166=""),"",IF('Imperial Data'!$B$2,'Imperial Calcs'!G163,'Imperial Calcs'!M163))</f>
        <v/>
      </c>
      <c r="I167" s="30" t="str">
        <f>IF(C167="","",IF('Imperial Data'!$B$2,'Imperial Calcs'!J163,'Imperial Calcs'!Y163))</f>
        <v/>
      </c>
      <c r="J167" s="30" t="str">
        <f>IF('Imperial Data'!$B$2,'Imperial Calcs'!M163,"")</f>
        <v/>
      </c>
      <c r="K167" s="30" t="str">
        <f>IF('Imperial Data'!$B$2,'Imperial Calcs'!Y163,"")</f>
        <v/>
      </c>
      <c r="L167" s="37" t="str">
        <f>IF('Imperial Data'!$B$2,J167,H167)</f>
        <v/>
      </c>
      <c r="M167" s="112" t="str">
        <f>IF('Imperial Data'!$B$2,K167,I167)</f>
        <v/>
      </c>
      <c r="O167" s="32" t="str">
        <f t="shared" si="29"/>
        <v/>
      </c>
      <c r="Q167" s="112">
        <f t="shared" si="30"/>
        <v>-5.6666666666666563</v>
      </c>
      <c r="R167" s="32" t="str">
        <f t="shared" si="24"/>
        <v/>
      </c>
      <c r="S167" s="32" t="str">
        <f t="shared" si="25"/>
        <v/>
      </c>
      <c r="U167" s="32" t="str">
        <f t="shared" si="27"/>
        <v/>
      </c>
      <c r="W167" s="30" t="str" cm="1">
        <f t="array" ref="W167">IF($AO$21="INVERT",R167,IF(W166&gt;=$S$12,"",IF(R166="","",INDEX($R$18:$R$227,$U$17-ROWS($R$18:$R166)))))</f>
        <v/>
      </c>
      <c r="X167" s="30" t="str">
        <f t="shared" si="28"/>
        <v/>
      </c>
      <c r="Y167" s="30" t="str">
        <f>IF(Y166="","",IF($AO$21="TYP",IF(S166="","",INDEX($S$18:$S$227,$U$17-ROWS($S$18:$S166))),IF($AO$21="INVERT",S167,"")))</f>
        <v/>
      </c>
      <c r="Z167" s="75" t="str">
        <f t="shared" si="26"/>
        <v/>
      </c>
    </row>
    <row r="168" spans="1:26" x14ac:dyDescent="0.2">
      <c r="A168" s="32" t="str">
        <f t="shared" si="23"/>
        <v/>
      </c>
      <c r="C168" s="35" t="str">
        <f>IF(OR(C167=1,C167=""),"",'Imperial Calcs'!B164)</f>
        <v/>
      </c>
      <c r="D168" s="30" t="str">
        <f>IF(C168="","",'Imperial Calcs'!C164)</f>
        <v/>
      </c>
      <c r="E168" s="30" t="str">
        <f>IF(OR(C167=1,C167=""),"",IF('Imperial Data'!$B$2,'Imperial Calcs'!D164,'Imperial Calcs'!E164))</f>
        <v/>
      </c>
      <c r="F168" s="30" t="str">
        <f>IF(OR(C167=1,C167=""),"",IF('Imperial Data'!$B$2,'Imperial Calcs'!E164,'Imperial Calcs'!G164))</f>
        <v/>
      </c>
      <c r="G168" s="30" t="str">
        <f>IF(OR(C167=1,C167=""),"",IF('Imperial Data'!$B$2,'Imperial Calcs'!F164,'Imperial Calcs'!J164))</f>
        <v/>
      </c>
      <c r="H168" s="30" t="str">
        <f>IF(OR(C167=1,C167=""),"",IF('Imperial Data'!$B$2,'Imperial Calcs'!G164,'Imperial Calcs'!M164))</f>
        <v/>
      </c>
      <c r="I168" s="30" t="str">
        <f>IF(C168="","",IF('Imperial Data'!$B$2,'Imperial Calcs'!J164,'Imperial Calcs'!Y164))</f>
        <v/>
      </c>
      <c r="J168" s="30" t="str">
        <f>IF('Imperial Data'!$B$2,'Imperial Calcs'!M164,"")</f>
        <v/>
      </c>
      <c r="K168" s="30" t="str">
        <f>IF('Imperial Data'!$B$2,'Imperial Calcs'!Y164,"")</f>
        <v/>
      </c>
      <c r="L168" s="37" t="str">
        <f>IF('Imperial Data'!$B$2,J168,H168)</f>
        <v/>
      </c>
      <c r="M168" s="112" t="str">
        <f>IF('Imperial Data'!$B$2,K168,I168)</f>
        <v/>
      </c>
      <c r="O168" s="32" t="str">
        <f t="shared" si="29"/>
        <v/>
      </c>
      <c r="Q168" s="112">
        <f t="shared" si="30"/>
        <v>-5.7499999999999893</v>
      </c>
      <c r="R168" s="32" t="str">
        <f t="shared" si="24"/>
        <v/>
      </c>
      <c r="S168" s="32" t="str">
        <f t="shared" si="25"/>
        <v/>
      </c>
      <c r="U168" s="32" t="str">
        <f t="shared" si="27"/>
        <v/>
      </c>
      <c r="W168" s="30" t="str" cm="1">
        <f t="array" ref="W168">IF($AO$21="INVERT",R168,IF(W167&gt;=$S$12,"",IF(R167="","",INDEX($R$18:$R$227,$U$17-ROWS($R$18:$R167)))))</f>
        <v/>
      </c>
      <c r="X168" s="30" t="str">
        <f t="shared" si="28"/>
        <v/>
      </c>
      <c r="Y168" s="30" t="str">
        <f>IF(Y167="","",IF($AO$21="TYP",IF(S167="","",INDEX($S$18:$S$227,$U$17-ROWS($S$18:$S167))),IF($AO$21="INVERT",S168,"")))</f>
        <v/>
      </c>
      <c r="Z168" s="75" t="str">
        <f t="shared" si="26"/>
        <v/>
      </c>
    </row>
    <row r="169" spans="1:26" x14ac:dyDescent="0.2">
      <c r="A169" s="32" t="str">
        <f t="shared" si="23"/>
        <v/>
      </c>
      <c r="C169" s="35" t="str">
        <f>IF(OR(C168=1,C168=""),"",'Imperial Calcs'!B165)</f>
        <v/>
      </c>
      <c r="D169" s="30" t="str">
        <f>IF(C169="","",'Imperial Calcs'!C165)</f>
        <v/>
      </c>
      <c r="E169" s="30" t="str">
        <f>IF(OR(C168=1,C168=""),"",IF('Imperial Data'!$B$2,'Imperial Calcs'!D165,'Imperial Calcs'!E165))</f>
        <v/>
      </c>
      <c r="F169" s="30" t="str">
        <f>IF(OR(C168=1,C168=""),"",IF('Imperial Data'!$B$2,'Imperial Calcs'!E165,'Imperial Calcs'!G165))</f>
        <v/>
      </c>
      <c r="G169" s="30" t="str">
        <f>IF(OR(C168=1,C168=""),"",IF('Imperial Data'!$B$2,'Imperial Calcs'!F165,'Imperial Calcs'!J165))</f>
        <v/>
      </c>
      <c r="H169" s="30" t="str">
        <f>IF(OR(C168=1,C168=""),"",IF('Imperial Data'!$B$2,'Imperial Calcs'!G165,'Imperial Calcs'!M165))</f>
        <v/>
      </c>
      <c r="I169" s="30" t="str">
        <f>IF(C169="","",IF('Imperial Data'!$B$2,'Imperial Calcs'!J165,'Imperial Calcs'!Y165))</f>
        <v/>
      </c>
      <c r="J169" s="30" t="str">
        <f>IF('Imperial Data'!$B$2,'Imperial Calcs'!M165,"")</f>
        <v/>
      </c>
      <c r="K169" s="30" t="str">
        <f>IF('Imperial Data'!$B$2,'Imperial Calcs'!Y165,"")</f>
        <v/>
      </c>
      <c r="L169" s="37" t="str">
        <f>IF('Imperial Data'!$B$2,J169,H169)</f>
        <v/>
      </c>
      <c r="M169" s="112" t="str">
        <f>IF('Imperial Data'!$B$2,K169,I169)</f>
        <v/>
      </c>
      <c r="O169" s="32" t="str">
        <f t="shared" si="29"/>
        <v/>
      </c>
      <c r="Q169" s="112">
        <f t="shared" si="30"/>
        <v>-5.8333333333333224</v>
      </c>
      <c r="R169" s="32" t="str">
        <f t="shared" si="24"/>
        <v/>
      </c>
      <c r="S169" s="32" t="str">
        <f t="shared" si="25"/>
        <v/>
      </c>
      <c r="U169" s="32" t="str">
        <f t="shared" si="27"/>
        <v/>
      </c>
      <c r="W169" s="30" t="str" cm="1">
        <f t="array" ref="W169">IF($AO$21="INVERT",R169,IF(W168&gt;=$S$12,"",IF(R168="","",INDEX($R$18:$R$227,$U$17-ROWS($R$18:$R168)))))</f>
        <v/>
      </c>
      <c r="X169" s="30" t="str">
        <f t="shared" si="28"/>
        <v/>
      </c>
      <c r="Y169" s="30" t="str">
        <f>IF(Y168="","",IF($AO$21="TYP",IF(S168="","",INDEX($S$18:$S$227,$U$17-ROWS($S$18:$S168))),IF($AO$21="INVERT",S169,"")))</f>
        <v/>
      </c>
      <c r="Z169" s="75" t="str">
        <f t="shared" si="26"/>
        <v/>
      </c>
    </row>
    <row r="170" spans="1:26" x14ac:dyDescent="0.2">
      <c r="A170" s="32" t="str">
        <f t="shared" si="23"/>
        <v/>
      </c>
      <c r="C170" s="35" t="str">
        <f>IF(OR(C169=1,C169=""),"",'Imperial Calcs'!B166)</f>
        <v/>
      </c>
      <c r="D170" s="30" t="str">
        <f>IF(C170="","",'Imperial Calcs'!C166)</f>
        <v/>
      </c>
      <c r="E170" s="30" t="str">
        <f>IF(OR(C169=1,C169=""),"",IF('Imperial Data'!$B$2,'Imperial Calcs'!D166,'Imperial Calcs'!E166))</f>
        <v/>
      </c>
      <c r="F170" s="30" t="str">
        <f>IF(OR(C169=1,C169=""),"",IF('Imperial Data'!$B$2,'Imperial Calcs'!E166,'Imperial Calcs'!G166))</f>
        <v/>
      </c>
      <c r="G170" s="30" t="str">
        <f>IF(OR(C169=1,C169=""),"",IF('Imperial Data'!$B$2,'Imperial Calcs'!F166,'Imperial Calcs'!J166))</f>
        <v/>
      </c>
      <c r="H170" s="30" t="str">
        <f>IF(OR(C169=1,C169=""),"",IF('Imperial Data'!$B$2,'Imperial Calcs'!G166,'Imperial Calcs'!M166))</f>
        <v/>
      </c>
      <c r="I170" s="30" t="str">
        <f>IF(C170="","",IF('Imperial Data'!$B$2,'Imperial Calcs'!J166,'Imperial Calcs'!Y166))</f>
        <v/>
      </c>
      <c r="J170" s="30" t="str">
        <f>IF('Imperial Data'!$B$2,'Imperial Calcs'!M166,"")</f>
        <v/>
      </c>
      <c r="K170" s="30" t="str">
        <f>IF('Imperial Data'!$B$2,'Imperial Calcs'!Y166,"")</f>
        <v/>
      </c>
      <c r="L170" s="37" t="str">
        <f>IF('Imperial Data'!$B$2,J170,H170)</f>
        <v/>
      </c>
      <c r="M170" s="112" t="str">
        <f>IF('Imperial Data'!$B$2,K170,I170)</f>
        <v/>
      </c>
      <c r="O170" s="32" t="str">
        <f t="shared" si="29"/>
        <v/>
      </c>
      <c r="Q170" s="112">
        <f t="shared" si="30"/>
        <v>-5.9166666666666554</v>
      </c>
      <c r="R170" s="32" t="str">
        <f t="shared" si="24"/>
        <v/>
      </c>
      <c r="S170" s="32" t="str">
        <f t="shared" si="25"/>
        <v/>
      </c>
      <c r="U170" s="32" t="str">
        <f t="shared" si="27"/>
        <v/>
      </c>
      <c r="W170" s="30" t="str" cm="1">
        <f t="array" ref="W170">IF($AO$21="INVERT",R170,IF(W169&gt;=$S$12,"",IF(R169="","",INDEX($R$18:$R$227,$U$17-ROWS($R$18:$R169)))))</f>
        <v/>
      </c>
      <c r="X170" s="30" t="str">
        <f t="shared" si="28"/>
        <v/>
      </c>
      <c r="Y170" s="30" t="str">
        <f>IF(Y169="","",IF($AO$21="TYP",IF(S169="","",INDEX($S$18:$S$227,$U$17-ROWS($S$18:$S169))),IF($AO$21="INVERT",S170,"")))</f>
        <v/>
      </c>
      <c r="Z170" s="75" t="str">
        <f t="shared" si="26"/>
        <v/>
      </c>
    </row>
    <row r="171" spans="1:26" x14ac:dyDescent="0.2">
      <c r="A171" s="32" t="str">
        <f t="shared" si="23"/>
        <v/>
      </c>
      <c r="C171" s="35" t="str">
        <f>IF(OR(C170=1,C170=""),"",'Imperial Calcs'!B167)</f>
        <v/>
      </c>
      <c r="D171" s="30" t="str">
        <f>IF(C171="","",'Imperial Calcs'!C167)</f>
        <v/>
      </c>
      <c r="E171" s="30" t="str">
        <f>IF(OR(C170=1,C170=""),"",IF('Imperial Data'!$B$2,'Imperial Calcs'!D167,'Imperial Calcs'!E167))</f>
        <v/>
      </c>
      <c r="F171" s="30" t="str">
        <f>IF(OR(C170=1,C170=""),"",IF('Imperial Data'!$B$2,'Imperial Calcs'!E167,'Imperial Calcs'!G167))</f>
        <v/>
      </c>
      <c r="G171" s="30" t="str">
        <f>IF(OR(C170=1,C170=""),"",IF('Imperial Data'!$B$2,'Imperial Calcs'!F167,'Imperial Calcs'!J167))</f>
        <v/>
      </c>
      <c r="H171" s="30" t="str">
        <f>IF(OR(C170=1,C170=""),"",IF('Imperial Data'!$B$2,'Imperial Calcs'!G167,'Imperial Calcs'!M167))</f>
        <v/>
      </c>
      <c r="I171" s="30" t="str">
        <f>IF(C171="","",IF('Imperial Data'!$B$2,'Imperial Calcs'!J167,'Imperial Calcs'!Y167))</f>
        <v/>
      </c>
      <c r="J171" s="30" t="str">
        <f>IF('Imperial Data'!$B$2,'Imperial Calcs'!M167,"")</f>
        <v/>
      </c>
      <c r="K171" s="30" t="str">
        <f>IF('Imperial Data'!$B$2,'Imperial Calcs'!Y167,"")</f>
        <v/>
      </c>
      <c r="L171" s="37" t="str">
        <f>IF('Imperial Data'!$B$2,J171,H171)</f>
        <v/>
      </c>
      <c r="M171" s="112" t="str">
        <f>IF('Imperial Data'!$B$2,K171,I171)</f>
        <v/>
      </c>
      <c r="O171" s="32" t="str">
        <f t="shared" si="29"/>
        <v/>
      </c>
      <c r="Q171" s="112">
        <f t="shared" si="30"/>
        <v>-5.9999999999999885</v>
      </c>
      <c r="R171" s="32" t="str">
        <f t="shared" si="24"/>
        <v/>
      </c>
      <c r="S171" s="32" t="str">
        <f t="shared" si="25"/>
        <v/>
      </c>
      <c r="U171" s="32" t="str">
        <f t="shared" si="27"/>
        <v/>
      </c>
      <c r="W171" s="30" t="str" cm="1">
        <f t="array" ref="W171">IF($AO$21="INVERT",R171,IF(W170&gt;=$S$12,"",IF(R170="","",INDEX($R$18:$R$227,$U$17-ROWS($R$18:$R170)))))</f>
        <v/>
      </c>
      <c r="X171" s="30" t="str">
        <f t="shared" si="28"/>
        <v/>
      </c>
      <c r="Y171" s="30" t="str">
        <f>IF(Y170="","",IF($AO$21="TYP",IF(S170="","",INDEX($S$18:$S$227,$U$17-ROWS($S$18:$S170))),IF($AO$21="INVERT",S171,"")))</f>
        <v/>
      </c>
      <c r="Z171" s="75" t="str">
        <f t="shared" si="26"/>
        <v/>
      </c>
    </row>
    <row r="172" spans="1:26" x14ac:dyDescent="0.2">
      <c r="A172" s="32" t="str">
        <f t="shared" si="23"/>
        <v/>
      </c>
      <c r="C172" s="35" t="str">
        <f>IF(OR(C171=1,C171=""),"",'Imperial Calcs'!B168)</f>
        <v/>
      </c>
      <c r="D172" s="30" t="str">
        <f>IF(C172="","",'Imperial Calcs'!C168)</f>
        <v/>
      </c>
      <c r="E172" s="30" t="str">
        <f>IF(OR(C171=1,C171=""),"",IF('Imperial Data'!$B$2,'Imperial Calcs'!D168,'Imperial Calcs'!E168))</f>
        <v/>
      </c>
      <c r="F172" s="30" t="str">
        <f>IF(OR(C171=1,C171=""),"",IF('Imperial Data'!$B$2,'Imperial Calcs'!E168,'Imperial Calcs'!G168))</f>
        <v/>
      </c>
      <c r="G172" s="30" t="str">
        <f>IF(OR(C171=1,C171=""),"",IF('Imperial Data'!$B$2,'Imperial Calcs'!F168,'Imperial Calcs'!J168))</f>
        <v/>
      </c>
      <c r="H172" s="30" t="str">
        <f>IF(OR(C171=1,C171=""),"",IF('Imperial Data'!$B$2,'Imperial Calcs'!G168,'Imperial Calcs'!M168))</f>
        <v/>
      </c>
      <c r="I172" s="30" t="str">
        <f>IF(C172="","",IF('Imperial Data'!$B$2,'Imperial Calcs'!J168,'Imperial Calcs'!Y168))</f>
        <v/>
      </c>
      <c r="J172" s="30" t="str">
        <f>IF('Imperial Data'!$B$2,'Imperial Calcs'!M168,"")</f>
        <v/>
      </c>
      <c r="K172" s="30" t="str">
        <f>IF('Imperial Data'!$B$2,'Imperial Calcs'!Y168,"")</f>
        <v/>
      </c>
      <c r="L172" s="37" t="str">
        <f>IF('Imperial Data'!$B$2,J172,H172)</f>
        <v/>
      </c>
      <c r="M172" s="112" t="str">
        <f>IF('Imperial Data'!$B$2,K172,I172)</f>
        <v/>
      </c>
      <c r="O172" s="32" t="str">
        <f t="shared" si="29"/>
        <v/>
      </c>
      <c r="Q172" s="112">
        <f t="shared" si="30"/>
        <v>-6.0833333333333215</v>
      </c>
      <c r="R172" s="32" t="str">
        <f t="shared" si="24"/>
        <v/>
      </c>
      <c r="S172" s="32" t="str">
        <f t="shared" si="25"/>
        <v/>
      </c>
      <c r="U172" s="32" t="str">
        <f t="shared" si="27"/>
        <v/>
      </c>
      <c r="W172" s="30" t="str" cm="1">
        <f t="array" ref="W172">IF($AO$21="INVERT",R172,IF(W171&gt;=$S$12,"",IF(R171="","",INDEX($R$18:$R$227,$U$17-ROWS($R$18:$R171)))))</f>
        <v/>
      </c>
      <c r="X172" s="30" t="str">
        <f t="shared" si="28"/>
        <v/>
      </c>
      <c r="Y172" s="30" t="str">
        <f>IF(Y171="","",IF($AO$21="TYP",IF(S171="","",INDEX($S$18:$S$227,$U$17-ROWS($S$18:$S171))),IF($AO$21="INVERT",S172,"")))</f>
        <v/>
      </c>
      <c r="Z172" s="75" t="str">
        <f t="shared" si="26"/>
        <v/>
      </c>
    </row>
    <row r="173" spans="1:26" x14ac:dyDescent="0.2">
      <c r="A173" s="32" t="str">
        <f t="shared" si="23"/>
        <v/>
      </c>
      <c r="C173" s="35" t="str">
        <f>IF(OR(C172=1,C172=""),"",'Imperial Calcs'!B169)</f>
        <v/>
      </c>
      <c r="D173" s="30" t="str">
        <f>IF(C173="","",'Imperial Calcs'!C169)</f>
        <v/>
      </c>
      <c r="E173" s="30" t="str">
        <f>IF(OR(C172=1,C172=""),"",IF('Imperial Data'!$B$2,'Imperial Calcs'!D169,'Imperial Calcs'!E169))</f>
        <v/>
      </c>
      <c r="F173" s="30" t="str">
        <f>IF(OR(C172=1,C172=""),"",IF('Imperial Data'!$B$2,'Imperial Calcs'!E169,'Imperial Calcs'!G169))</f>
        <v/>
      </c>
      <c r="G173" s="30" t="str">
        <f>IF(OR(C172=1,C172=""),"",IF('Imperial Data'!$B$2,'Imperial Calcs'!F169,'Imperial Calcs'!J169))</f>
        <v/>
      </c>
      <c r="H173" s="30" t="str">
        <f>IF(OR(C172=1,C172=""),"",IF('Imperial Data'!$B$2,'Imperial Calcs'!G169,'Imperial Calcs'!M169))</f>
        <v/>
      </c>
      <c r="I173" s="30" t="str">
        <f>IF(C173="","",IF('Imperial Data'!$B$2,'Imperial Calcs'!J169,'Imperial Calcs'!Y169))</f>
        <v/>
      </c>
      <c r="J173" s="30" t="str">
        <f>IF('Imperial Data'!$B$2,'Imperial Calcs'!M169,"")</f>
        <v/>
      </c>
      <c r="K173" s="30" t="str">
        <f>IF('Imperial Data'!$B$2,'Imperial Calcs'!Y169,"")</f>
        <v/>
      </c>
      <c r="L173" s="37" t="str">
        <f>IF('Imperial Data'!$B$2,J173,H173)</f>
        <v/>
      </c>
      <c r="M173" s="112" t="str">
        <f>IF('Imperial Data'!$B$2,K173,I173)</f>
        <v/>
      </c>
      <c r="O173" s="32" t="str">
        <f t="shared" si="29"/>
        <v/>
      </c>
      <c r="Q173" s="112">
        <f t="shared" si="30"/>
        <v>-6.1666666666666545</v>
      </c>
      <c r="R173" s="32" t="str">
        <f t="shared" si="24"/>
        <v/>
      </c>
      <c r="S173" s="32" t="str">
        <f t="shared" si="25"/>
        <v/>
      </c>
      <c r="U173" s="32" t="str">
        <f t="shared" si="27"/>
        <v/>
      </c>
      <c r="W173" s="30" t="str" cm="1">
        <f t="array" ref="W173">IF($AO$21="INVERT",R173,IF(W172&gt;=$S$12,"",IF(R172="","",INDEX($R$18:$R$227,$U$17-ROWS($R$18:$R172)))))</f>
        <v/>
      </c>
      <c r="X173" s="30" t="str">
        <f t="shared" si="28"/>
        <v/>
      </c>
      <c r="Y173" s="30" t="str">
        <f>IF(Y172="","",IF($AO$21="TYP",IF(S172="","",INDEX($S$18:$S$227,$U$17-ROWS($S$18:$S172))),IF($AO$21="INVERT",S173,"")))</f>
        <v/>
      </c>
      <c r="Z173" s="75" t="str">
        <f t="shared" si="26"/>
        <v/>
      </c>
    </row>
    <row r="174" spans="1:26" x14ac:dyDescent="0.2">
      <c r="A174" s="32" t="str">
        <f t="shared" si="23"/>
        <v/>
      </c>
      <c r="C174" s="35" t="str">
        <f>IF(OR(C173=1,C173=""),"",'Imperial Calcs'!B170)</f>
        <v/>
      </c>
      <c r="D174" s="30" t="str">
        <f>IF(C174="","",'Imperial Calcs'!C170)</f>
        <v/>
      </c>
      <c r="E174" s="30" t="str">
        <f>IF(OR(C173=1,C173=""),"",IF('Imperial Data'!$B$2,'Imperial Calcs'!D170,'Imperial Calcs'!E170))</f>
        <v/>
      </c>
      <c r="F174" s="30" t="str">
        <f>IF(OR(C173=1,C173=""),"",IF('Imperial Data'!$B$2,'Imperial Calcs'!E170,'Imperial Calcs'!G170))</f>
        <v/>
      </c>
      <c r="G174" s="30" t="str">
        <f>IF(OR(C173=1,C173=""),"",IF('Imperial Data'!$B$2,'Imperial Calcs'!F170,'Imperial Calcs'!J170))</f>
        <v/>
      </c>
      <c r="H174" s="30" t="str">
        <f>IF(OR(C173=1,C173=""),"",IF('Imperial Data'!$B$2,'Imperial Calcs'!G170,'Imperial Calcs'!M170))</f>
        <v/>
      </c>
      <c r="I174" s="30" t="str">
        <f>IF(C174="","",IF('Imperial Data'!$B$2,'Imperial Calcs'!J170,'Imperial Calcs'!Y170))</f>
        <v/>
      </c>
      <c r="J174" s="30" t="str">
        <f>IF('Imperial Data'!$B$2,'Imperial Calcs'!M170,"")</f>
        <v/>
      </c>
      <c r="K174" s="30" t="str">
        <f>IF('Imperial Data'!$B$2,'Imperial Calcs'!Y170,"")</f>
        <v/>
      </c>
      <c r="L174" s="37" t="str">
        <f>IF('Imperial Data'!$B$2,J174,H174)</f>
        <v/>
      </c>
      <c r="M174" s="112" t="str">
        <f>IF('Imperial Data'!$B$2,K174,I174)</f>
        <v/>
      </c>
      <c r="O174" s="32" t="str">
        <f t="shared" si="29"/>
        <v/>
      </c>
      <c r="Q174" s="112">
        <f t="shared" si="30"/>
        <v>-6.2499999999999876</v>
      </c>
      <c r="R174" s="32" t="str">
        <f t="shared" si="24"/>
        <v/>
      </c>
      <c r="S174" s="32" t="str">
        <f t="shared" si="25"/>
        <v/>
      </c>
      <c r="U174" s="32" t="str">
        <f t="shared" si="27"/>
        <v/>
      </c>
      <c r="W174" s="30" t="str" cm="1">
        <f t="array" ref="W174">IF($AO$21="INVERT",R174,IF(W173&gt;=$S$12,"",IF(R173="","",INDEX($R$18:$R$227,$U$17-ROWS($R$18:$R173)))))</f>
        <v/>
      </c>
      <c r="X174" s="30" t="str">
        <f t="shared" si="28"/>
        <v/>
      </c>
      <c r="Y174" s="30" t="str">
        <f>IF(Y173="","",IF($AO$21="TYP",IF(S173="","",INDEX($S$18:$S$227,$U$17-ROWS($S$18:$S173))),IF($AO$21="INVERT",S174,"")))</f>
        <v/>
      </c>
      <c r="Z174" s="75" t="str">
        <f t="shared" si="26"/>
        <v/>
      </c>
    </row>
    <row r="175" spans="1:26" x14ac:dyDescent="0.2">
      <c r="A175" s="32" t="str">
        <f t="shared" si="23"/>
        <v/>
      </c>
      <c r="C175" s="35" t="str">
        <f>IF(OR(C174=1,C174=""),"",'Imperial Calcs'!B171)</f>
        <v/>
      </c>
      <c r="D175" s="30" t="str">
        <f>IF(C175="","",'Imperial Calcs'!C171)</f>
        <v/>
      </c>
      <c r="E175" s="30" t="str">
        <f>IF(OR(C174=1,C174=""),"",IF('Imperial Data'!$B$2,'Imperial Calcs'!D171,'Imperial Calcs'!E171))</f>
        <v/>
      </c>
      <c r="F175" s="30" t="str">
        <f>IF(OR(C174=1,C174=""),"",IF('Imperial Data'!$B$2,'Imperial Calcs'!E171,'Imperial Calcs'!G171))</f>
        <v/>
      </c>
      <c r="G175" s="30" t="str">
        <f>IF(OR(C174=1,C174=""),"",IF('Imperial Data'!$B$2,'Imperial Calcs'!F171,'Imperial Calcs'!J171))</f>
        <v/>
      </c>
      <c r="H175" s="30" t="str">
        <f>IF(OR(C174=1,C174=""),"",IF('Imperial Data'!$B$2,'Imperial Calcs'!G171,'Imperial Calcs'!M171))</f>
        <v/>
      </c>
      <c r="I175" s="30" t="str">
        <f>IF(C175="","",IF('Imperial Data'!$B$2,'Imperial Calcs'!J171,'Imperial Calcs'!Y171))</f>
        <v/>
      </c>
      <c r="J175" s="30" t="str">
        <f>IF('Imperial Data'!$B$2,'Imperial Calcs'!M171,"")</f>
        <v/>
      </c>
      <c r="K175" s="30" t="str">
        <f>IF('Imperial Data'!$B$2,'Imperial Calcs'!Y171,"")</f>
        <v/>
      </c>
      <c r="L175" s="37" t="str">
        <f>IF('Imperial Data'!$B$2,J175,H175)</f>
        <v/>
      </c>
      <c r="M175" s="112" t="str">
        <f>IF('Imperial Data'!$B$2,K175,I175)</f>
        <v/>
      </c>
      <c r="O175" s="32" t="str">
        <f t="shared" si="29"/>
        <v/>
      </c>
      <c r="Q175" s="112">
        <f t="shared" si="30"/>
        <v>-6.3333333333333206</v>
      </c>
      <c r="R175" s="32" t="str">
        <f t="shared" si="24"/>
        <v/>
      </c>
      <c r="S175" s="32" t="str">
        <f t="shared" si="25"/>
        <v/>
      </c>
      <c r="U175" s="32" t="str">
        <f t="shared" si="27"/>
        <v/>
      </c>
      <c r="W175" s="30" t="str" cm="1">
        <f t="array" ref="W175">IF($AO$21="INVERT",R175,IF(W174&gt;=$S$12,"",IF(R174="","",INDEX($R$18:$R$227,$U$17-ROWS($R$18:$R174)))))</f>
        <v/>
      </c>
      <c r="X175" s="30" t="str">
        <f t="shared" si="28"/>
        <v/>
      </c>
      <c r="Y175" s="30" t="str">
        <f>IF(Y174="","",IF($AO$21="TYP",IF(S174="","",INDEX($S$18:$S$227,$U$17-ROWS($S$18:$S174))),IF($AO$21="INVERT",S175,"")))</f>
        <v/>
      </c>
      <c r="Z175" s="75" t="str">
        <f t="shared" si="26"/>
        <v/>
      </c>
    </row>
    <row r="176" spans="1:26" x14ac:dyDescent="0.2">
      <c r="A176" s="32" t="str">
        <f t="shared" si="23"/>
        <v/>
      </c>
      <c r="C176" s="35" t="str">
        <f>IF(OR(C175=1,C175=""),"",'Imperial Calcs'!B172)</f>
        <v/>
      </c>
      <c r="D176" s="30" t="str">
        <f>IF(C176="","",'Imperial Calcs'!C172)</f>
        <v/>
      </c>
      <c r="E176" s="30" t="str">
        <f>IF(OR(C175=1,C175=""),"",IF('Imperial Data'!$B$2,'Imperial Calcs'!D172,'Imperial Calcs'!E172))</f>
        <v/>
      </c>
      <c r="F176" s="30" t="str">
        <f>IF(OR(C175=1,C175=""),"",IF('Imperial Data'!$B$2,'Imperial Calcs'!E172,'Imperial Calcs'!G172))</f>
        <v/>
      </c>
      <c r="G176" s="30" t="str">
        <f>IF(OR(C175=1,C175=""),"",IF('Imperial Data'!$B$2,'Imperial Calcs'!F172,'Imperial Calcs'!J172))</f>
        <v/>
      </c>
      <c r="H176" s="30" t="str">
        <f>IF(OR(C175=1,C175=""),"",IF('Imperial Data'!$B$2,'Imperial Calcs'!G172,'Imperial Calcs'!M172))</f>
        <v/>
      </c>
      <c r="I176" s="30" t="str">
        <f>IF(C176="","",IF('Imperial Data'!$B$2,'Imperial Calcs'!J172,'Imperial Calcs'!Y172))</f>
        <v/>
      </c>
      <c r="J176" s="30" t="str">
        <f>IF('Imperial Data'!$B$2,'Imperial Calcs'!M172,"")</f>
        <v/>
      </c>
      <c r="K176" s="30" t="str">
        <f>IF('Imperial Data'!$B$2,'Imperial Calcs'!Y172,"")</f>
        <v/>
      </c>
      <c r="L176" s="37" t="str">
        <f>IF('Imperial Data'!$B$2,J176,H176)</f>
        <v/>
      </c>
      <c r="M176" s="112" t="str">
        <f>IF('Imperial Data'!$B$2,K176,I176)</f>
        <v/>
      </c>
      <c r="O176" s="32" t="str">
        <f t="shared" si="29"/>
        <v/>
      </c>
      <c r="Q176" s="112">
        <f t="shared" si="30"/>
        <v>-6.4166666666666536</v>
      </c>
      <c r="R176" s="32" t="str">
        <f t="shared" si="24"/>
        <v/>
      </c>
      <c r="S176" s="32" t="str">
        <f t="shared" si="25"/>
        <v/>
      </c>
      <c r="U176" s="32" t="str">
        <f t="shared" si="27"/>
        <v/>
      </c>
      <c r="W176" s="30" t="str" cm="1">
        <f t="array" ref="W176">IF($AO$21="INVERT",R176,IF(W175&gt;=$S$12,"",IF(R175="","",INDEX($R$18:$R$227,$U$17-ROWS($R$18:$R175)))))</f>
        <v/>
      </c>
      <c r="X176" s="30" t="str">
        <f t="shared" si="28"/>
        <v/>
      </c>
      <c r="Y176" s="30" t="str">
        <f>IF(Y175="","",IF($AO$21="TYP",IF(S175="","",INDEX($S$18:$S$227,$U$17-ROWS($S$18:$S175))),IF($AO$21="INVERT",S176,"")))</f>
        <v/>
      </c>
      <c r="Z176" s="75" t="str">
        <f t="shared" si="26"/>
        <v/>
      </c>
    </row>
    <row r="177" spans="1:26" x14ac:dyDescent="0.2">
      <c r="A177" s="32" t="str">
        <f t="shared" si="23"/>
        <v/>
      </c>
      <c r="C177" s="35" t="str">
        <f>IF(OR(C176=1,C176=""),"",'Imperial Calcs'!B173)</f>
        <v/>
      </c>
      <c r="D177" s="30" t="str">
        <f>IF(C177="","",'Imperial Calcs'!C173)</f>
        <v/>
      </c>
      <c r="E177" s="30" t="str">
        <f>IF(OR(C176=1,C176=""),"",IF('Imperial Data'!$B$2,'Imperial Calcs'!D173,'Imperial Calcs'!E173))</f>
        <v/>
      </c>
      <c r="F177" s="30" t="str">
        <f>IF(OR(C176=1,C176=""),"",IF('Imperial Data'!$B$2,'Imperial Calcs'!E173,'Imperial Calcs'!G173))</f>
        <v/>
      </c>
      <c r="G177" s="30" t="str">
        <f>IF(OR(C176=1,C176=""),"",IF('Imperial Data'!$B$2,'Imperial Calcs'!F173,'Imperial Calcs'!J173))</f>
        <v/>
      </c>
      <c r="H177" s="30" t="str">
        <f>IF(OR(C176=1,C176=""),"",IF('Imperial Data'!$B$2,'Imperial Calcs'!G173,'Imperial Calcs'!M173))</f>
        <v/>
      </c>
      <c r="I177" s="30" t="str">
        <f>IF(C177="","",IF('Imperial Data'!$B$2,'Imperial Calcs'!J173,'Imperial Calcs'!Y173))</f>
        <v/>
      </c>
      <c r="J177" s="30" t="str">
        <f>IF('Imperial Data'!$B$2,'Imperial Calcs'!M173,"")</f>
        <v/>
      </c>
      <c r="K177" s="30" t="str">
        <f>IF('Imperial Data'!$B$2,'Imperial Calcs'!Y173,"")</f>
        <v/>
      </c>
      <c r="L177" s="37" t="str">
        <f>IF('Imperial Data'!$B$2,J177,H177)</f>
        <v/>
      </c>
      <c r="M177" s="112" t="str">
        <f>IF('Imperial Data'!$B$2,K177,I177)</f>
        <v/>
      </c>
      <c r="O177" s="32" t="str">
        <f t="shared" si="29"/>
        <v/>
      </c>
      <c r="Q177" s="112">
        <f t="shared" si="30"/>
        <v>-6.4999999999999867</v>
      </c>
      <c r="R177" s="32" t="str">
        <f t="shared" si="24"/>
        <v/>
      </c>
      <c r="S177" s="32" t="str">
        <f t="shared" si="25"/>
        <v/>
      </c>
      <c r="U177" s="32" t="str">
        <f t="shared" si="27"/>
        <v/>
      </c>
      <c r="W177" s="30" t="str" cm="1">
        <f t="array" ref="W177">IF($AO$21="INVERT",R177,IF(W176&gt;=$S$12,"",IF(R176="","",INDEX($R$18:$R$227,$U$17-ROWS($R$18:$R176)))))</f>
        <v/>
      </c>
      <c r="X177" s="30" t="str">
        <f t="shared" si="28"/>
        <v/>
      </c>
      <c r="Y177" s="30" t="str">
        <f>IF(Y176="","",IF($AO$21="TYP",IF(S176="","",INDEX($S$18:$S$227,$U$17-ROWS($S$18:$S176))),IF($AO$21="INVERT",S177,"")))</f>
        <v/>
      </c>
      <c r="Z177" s="75" t="str">
        <f t="shared" si="26"/>
        <v/>
      </c>
    </row>
    <row r="178" spans="1:26" x14ac:dyDescent="0.2">
      <c r="A178" s="32" t="str">
        <f t="shared" si="23"/>
        <v/>
      </c>
      <c r="C178" s="35" t="str">
        <f>IF(OR(C177=1,C177=""),"",'Imperial Calcs'!B174)</f>
        <v/>
      </c>
      <c r="D178" s="30" t="str">
        <f>IF(C178="","",'Imperial Calcs'!C174)</f>
        <v/>
      </c>
      <c r="E178" s="30" t="str">
        <f>IF(OR(C177=1,C177=""),"",IF('Imperial Data'!$B$2,'Imperial Calcs'!D174,'Imperial Calcs'!E174))</f>
        <v/>
      </c>
      <c r="F178" s="30" t="str">
        <f>IF(OR(C177=1,C177=""),"",IF('Imperial Data'!$B$2,'Imperial Calcs'!E174,'Imperial Calcs'!G174))</f>
        <v/>
      </c>
      <c r="G178" s="30" t="str">
        <f>IF(OR(C177=1,C177=""),"",IF('Imperial Data'!$B$2,'Imperial Calcs'!F174,'Imperial Calcs'!J174))</f>
        <v/>
      </c>
      <c r="H178" s="30" t="str">
        <f>IF(OR(C177=1,C177=""),"",IF('Imperial Data'!$B$2,'Imperial Calcs'!G174,'Imperial Calcs'!M174))</f>
        <v/>
      </c>
      <c r="I178" s="30" t="str">
        <f>IF(C178="","",IF('Imperial Data'!$B$2,'Imperial Calcs'!J174,'Imperial Calcs'!Y174))</f>
        <v/>
      </c>
      <c r="J178" s="30" t="str">
        <f>IF('Imperial Data'!$B$2,'Imperial Calcs'!M174,"")</f>
        <v/>
      </c>
      <c r="K178" s="30" t="str">
        <f>IF('Imperial Data'!$B$2,'Imperial Calcs'!Y174,"")</f>
        <v/>
      </c>
      <c r="L178" s="37" t="str">
        <f>IF('Imperial Data'!$B$2,J178,H178)</f>
        <v/>
      </c>
      <c r="M178" s="112" t="str">
        <f>IF('Imperial Data'!$B$2,K178,I178)</f>
        <v/>
      </c>
      <c r="O178" s="32" t="str">
        <f t="shared" si="29"/>
        <v/>
      </c>
      <c r="Q178" s="112">
        <f t="shared" si="30"/>
        <v>-6.5833333333333197</v>
      </c>
      <c r="R178" s="32" t="str">
        <f t="shared" ref="R178:R199" si="31">IF(AND(C178="",C177=1),0,IF(C178="","",IF(OR(Q178=0,Q178&gt;0),Q178,"")))</f>
        <v/>
      </c>
      <c r="S178" s="32" t="str">
        <f t="shared" ref="S178:S227" si="32">IF(R178="","",IF(R178=0,L177/$U$11,IF(ISNUMBER(O179),(L178-L179)/(M178-M179),S177)))</f>
        <v/>
      </c>
      <c r="U178" s="32" t="str">
        <f t="shared" si="27"/>
        <v/>
      </c>
      <c r="W178" s="30" t="str" cm="1">
        <f t="array" ref="W178">IF($AO$21="INVERT",R178,IF(W177&gt;=$S$12,"",IF(R177="","",INDEX($R$18:$R$227,$U$17-ROWS($R$18:$R177)))))</f>
        <v/>
      </c>
      <c r="X178" s="30" t="str">
        <f t="shared" si="28"/>
        <v/>
      </c>
      <c r="Y178" s="30" t="str">
        <f>IF(Y177="","",IF($AO$21="TYP",IF(S177="","",INDEX($S$18:$S$227,$U$17-ROWS($S$18:$S177))),IF($AO$21="INVERT",S178,"")))</f>
        <v/>
      </c>
      <c r="Z178" s="75" t="str">
        <f t="shared" ref="Z178:Z199" si="33">IF(Y178="","",Y178/43560)</f>
        <v/>
      </c>
    </row>
    <row r="179" spans="1:26" x14ac:dyDescent="0.2">
      <c r="A179" s="32" t="str">
        <f t="shared" si="23"/>
        <v/>
      </c>
      <c r="C179" s="35" t="str">
        <f>IF(OR(C178=1,C178=""),"",'Imperial Calcs'!B175)</f>
        <v/>
      </c>
      <c r="D179" s="30" t="str">
        <f>IF(C179="","",'Imperial Calcs'!C175)</f>
        <v/>
      </c>
      <c r="E179" s="30" t="str">
        <f>IF(OR(C178=1,C178=""),"",IF('Imperial Data'!$B$2,'Imperial Calcs'!D175,'Imperial Calcs'!E175))</f>
        <v/>
      </c>
      <c r="F179" s="30" t="str">
        <f>IF(OR(C178=1,C178=""),"",IF('Imperial Data'!$B$2,'Imperial Calcs'!E175,'Imperial Calcs'!G175))</f>
        <v/>
      </c>
      <c r="G179" s="30" t="str">
        <f>IF(OR(C178=1,C178=""),"",IF('Imperial Data'!$B$2,'Imperial Calcs'!F175,'Imperial Calcs'!J175))</f>
        <v/>
      </c>
      <c r="H179" s="30" t="str">
        <f>IF(OR(C178=1,C178=""),"",IF('Imperial Data'!$B$2,'Imperial Calcs'!G175,'Imperial Calcs'!M175))</f>
        <v/>
      </c>
      <c r="I179" s="30" t="str">
        <f>IF(C179="","",IF('Imperial Data'!$B$2,'Imperial Calcs'!J175,'Imperial Calcs'!Y175))</f>
        <v/>
      </c>
      <c r="J179" s="30" t="str">
        <f>IF('Imperial Data'!$B$2,'Imperial Calcs'!M175,"")</f>
        <v/>
      </c>
      <c r="K179" s="30" t="str">
        <f>IF('Imperial Data'!$B$2,'Imperial Calcs'!Y175,"")</f>
        <v/>
      </c>
      <c r="L179" s="37" t="str">
        <f>IF('Imperial Data'!$B$2,J179,H179)</f>
        <v/>
      </c>
      <c r="M179" s="112" t="str">
        <f>IF('Imperial Data'!$B$2,K179,I179)</f>
        <v/>
      </c>
      <c r="O179" s="32" t="str">
        <f t="shared" si="29"/>
        <v/>
      </c>
      <c r="Q179" s="112">
        <f t="shared" si="30"/>
        <v>-6.6666666666666528</v>
      </c>
      <c r="R179" s="32" t="str">
        <f t="shared" si="31"/>
        <v/>
      </c>
      <c r="S179" s="32" t="str">
        <f t="shared" si="32"/>
        <v/>
      </c>
      <c r="U179" s="32" t="str">
        <f t="shared" si="27"/>
        <v/>
      </c>
      <c r="W179" s="30" t="str" cm="1">
        <f t="array" ref="W179">IF($AO$21="INVERT",R179,IF(W178&gt;=$S$12,"",IF(R178="","",INDEX($R$18:$R$227,$U$17-ROWS($R$18:$R178)))))</f>
        <v/>
      </c>
      <c r="X179" s="30" t="str">
        <f t="shared" si="28"/>
        <v/>
      </c>
      <c r="Y179" s="30" t="str">
        <f>IF(Y178="","",IF($AO$21="TYP",IF(S178="","",INDEX($S$18:$S$227,$U$17-ROWS($S$18:$S178))),IF($AO$21="INVERT",S179,"")))</f>
        <v/>
      </c>
      <c r="Z179" s="75" t="str">
        <f t="shared" si="33"/>
        <v/>
      </c>
    </row>
    <row r="180" spans="1:26" x14ac:dyDescent="0.2">
      <c r="A180" s="32" t="str">
        <f t="shared" si="23"/>
        <v/>
      </c>
      <c r="C180" s="35" t="str">
        <f>IF(OR(C179=1,C179=""),"",'Imperial Calcs'!B176)</f>
        <v/>
      </c>
      <c r="D180" s="30" t="str">
        <f>IF(C180="","",'Imperial Calcs'!C176)</f>
        <v/>
      </c>
      <c r="E180" s="30" t="str">
        <f>IF(OR(C179=1,C179=""),"",IF('Imperial Data'!$B$2,'Imperial Calcs'!D176,'Imperial Calcs'!E176))</f>
        <v/>
      </c>
      <c r="F180" s="30" t="str">
        <f>IF(OR(C179=1,C179=""),"",IF('Imperial Data'!$B$2,'Imperial Calcs'!E176,'Imperial Calcs'!G176))</f>
        <v/>
      </c>
      <c r="G180" s="30" t="str">
        <f>IF(OR(C179=1,C179=""),"",IF('Imperial Data'!$B$2,'Imperial Calcs'!F176,'Imperial Calcs'!J176))</f>
        <v/>
      </c>
      <c r="H180" s="30" t="str">
        <f>IF(OR(C179=1,C179=""),"",IF('Imperial Data'!$B$2,'Imperial Calcs'!G176,'Imperial Calcs'!M176))</f>
        <v/>
      </c>
      <c r="I180" s="30" t="str">
        <f>IF(C180="","",IF('Imperial Data'!$B$2,'Imperial Calcs'!J176,'Imperial Calcs'!Y176))</f>
        <v/>
      </c>
      <c r="J180" s="30" t="str">
        <f>IF('Imperial Data'!$B$2,'Imperial Calcs'!M176,"")</f>
        <v/>
      </c>
      <c r="K180" s="30" t="str">
        <f>IF('Imperial Data'!$B$2,'Imperial Calcs'!Y176,"")</f>
        <v/>
      </c>
      <c r="L180" s="37" t="str">
        <f>IF('Imperial Data'!$B$2,J180,H180)</f>
        <v/>
      </c>
      <c r="M180" s="112" t="str">
        <f>IF('Imperial Data'!$B$2,K180,I180)</f>
        <v/>
      </c>
      <c r="O180" s="32" t="str">
        <f t="shared" si="29"/>
        <v/>
      </c>
      <c r="Q180" s="112">
        <f t="shared" si="30"/>
        <v>-6.7499999999999858</v>
      </c>
      <c r="R180" s="32" t="str">
        <f t="shared" si="31"/>
        <v/>
      </c>
      <c r="S180" s="32" t="str">
        <f t="shared" si="32"/>
        <v/>
      </c>
      <c r="U180" s="32" t="str">
        <f t="shared" si="27"/>
        <v/>
      </c>
      <c r="W180" s="30" t="str" cm="1">
        <f t="array" ref="W180">IF($AO$21="INVERT",R180,IF(W179&gt;=$S$12,"",IF(R179="","",INDEX($R$18:$R$227,$U$17-ROWS($R$18:$R179)))))</f>
        <v/>
      </c>
      <c r="X180" s="30" t="str">
        <f t="shared" si="28"/>
        <v/>
      </c>
      <c r="Y180" s="30" t="str">
        <f>IF(Y179="","",IF($AO$21="TYP",IF(S179="","",INDEX($S$18:$S$227,$U$17-ROWS($S$18:$S179))),IF($AO$21="INVERT",S180,"")))</f>
        <v/>
      </c>
      <c r="Z180" s="75" t="str">
        <f t="shared" si="33"/>
        <v/>
      </c>
    </row>
    <row r="181" spans="1:26" x14ac:dyDescent="0.2">
      <c r="A181" s="32" t="str">
        <f t="shared" si="23"/>
        <v/>
      </c>
      <c r="C181" s="35" t="str">
        <f>IF(OR(C180=1,C180=""),"",'Imperial Calcs'!B177)</f>
        <v/>
      </c>
      <c r="D181" s="30" t="str">
        <f>IF(C181="","",'Imperial Calcs'!C177)</f>
        <v/>
      </c>
      <c r="E181" s="30" t="str">
        <f>IF(OR(C180=1,C180=""),"",IF('Imperial Data'!$B$2,'Imperial Calcs'!D177,'Imperial Calcs'!E177))</f>
        <v/>
      </c>
      <c r="F181" s="30" t="str">
        <f>IF(OR(C180=1,C180=""),"",IF('Imperial Data'!$B$2,'Imperial Calcs'!E177,'Imperial Calcs'!G177))</f>
        <v/>
      </c>
      <c r="G181" s="30" t="str">
        <f>IF(OR(C180=1,C180=""),"",IF('Imperial Data'!$B$2,'Imperial Calcs'!F177,'Imperial Calcs'!J177))</f>
        <v/>
      </c>
      <c r="H181" s="30" t="str">
        <f>IF(OR(C180=1,C180=""),"",IF('Imperial Data'!$B$2,'Imperial Calcs'!G177,'Imperial Calcs'!M177))</f>
        <v/>
      </c>
      <c r="I181" s="30" t="str">
        <f>IF(C181="","",IF('Imperial Data'!$B$2,'Imperial Calcs'!J177,'Imperial Calcs'!Y177))</f>
        <v/>
      </c>
      <c r="J181" s="30" t="str">
        <f>IF('Imperial Data'!$B$2,'Imperial Calcs'!M177,"")</f>
        <v/>
      </c>
      <c r="K181" s="30" t="str">
        <f>IF('Imperial Data'!$B$2,'Imperial Calcs'!Y177,"")</f>
        <v/>
      </c>
      <c r="L181" s="37" t="str">
        <f>IF('Imperial Data'!$B$2,J181,H181)</f>
        <v/>
      </c>
      <c r="M181" s="112" t="str">
        <f>IF('Imperial Data'!$B$2,K181,I181)</f>
        <v/>
      </c>
      <c r="O181" s="32" t="str">
        <f t="shared" si="29"/>
        <v/>
      </c>
      <c r="Q181" s="112">
        <f t="shared" si="30"/>
        <v>-6.8333333333333188</v>
      </c>
      <c r="R181" s="32" t="str">
        <f t="shared" si="31"/>
        <v/>
      </c>
      <c r="S181" s="32" t="str">
        <f t="shared" si="32"/>
        <v/>
      </c>
      <c r="U181" s="32" t="str">
        <f t="shared" si="27"/>
        <v/>
      </c>
      <c r="W181" s="30" t="str" cm="1">
        <f t="array" ref="W181">IF($AO$21="INVERT",R181,IF(W180&gt;=$S$12,"",IF(R180="","",INDEX($R$18:$R$227,$U$17-ROWS($R$18:$R180)))))</f>
        <v/>
      </c>
      <c r="X181" s="30" t="str">
        <f t="shared" si="28"/>
        <v/>
      </c>
      <c r="Y181" s="30" t="str">
        <f>IF(Y180="","",IF($AO$21="TYP",IF(S180="","",INDEX($S$18:$S$227,$U$17-ROWS($S$18:$S180))),IF($AO$21="INVERT",S181,"")))</f>
        <v/>
      </c>
      <c r="Z181" s="75" t="str">
        <f t="shared" si="33"/>
        <v/>
      </c>
    </row>
    <row r="182" spans="1:26" x14ac:dyDescent="0.2">
      <c r="A182" s="32" t="str">
        <f t="shared" si="23"/>
        <v/>
      </c>
      <c r="C182" s="35" t="str">
        <f>IF(OR(C181=1,C181=""),"",'Imperial Calcs'!B178)</f>
        <v/>
      </c>
      <c r="D182" s="30" t="str">
        <f>IF(C182="","",'Imperial Calcs'!C178)</f>
        <v/>
      </c>
      <c r="E182" s="30" t="str">
        <f>IF(OR(C181=1,C181=""),"",IF('Imperial Data'!$B$2,'Imperial Calcs'!D178,'Imperial Calcs'!E178))</f>
        <v/>
      </c>
      <c r="F182" s="30" t="str">
        <f>IF(OR(C181=1,C181=""),"",IF('Imperial Data'!$B$2,'Imperial Calcs'!E178,'Imperial Calcs'!G178))</f>
        <v/>
      </c>
      <c r="G182" s="30" t="str">
        <f>IF(OR(C181=1,C181=""),"",IF('Imperial Data'!$B$2,'Imperial Calcs'!F178,'Imperial Calcs'!J178))</f>
        <v/>
      </c>
      <c r="H182" s="30" t="str">
        <f>IF(OR(C181=1,C181=""),"",IF('Imperial Data'!$B$2,'Imperial Calcs'!G178,'Imperial Calcs'!M178))</f>
        <v/>
      </c>
      <c r="I182" s="30" t="str">
        <f>IF(C182="","",IF('Imperial Data'!$B$2,'Imperial Calcs'!J178,'Imperial Calcs'!Y178))</f>
        <v/>
      </c>
      <c r="J182" s="30" t="str">
        <f>IF('Imperial Data'!$B$2,'Imperial Calcs'!M178,"")</f>
        <v/>
      </c>
      <c r="K182" s="30" t="str">
        <f>IF('Imperial Data'!$B$2,'Imperial Calcs'!Y178,"")</f>
        <v/>
      </c>
      <c r="L182" s="37" t="str">
        <f>IF('Imperial Data'!$B$2,J182,H182)</f>
        <v/>
      </c>
      <c r="M182" s="112" t="str">
        <f>IF('Imperial Data'!$B$2,K182,I182)</f>
        <v/>
      </c>
      <c r="O182" s="32" t="str">
        <f t="shared" si="29"/>
        <v/>
      </c>
      <c r="Q182" s="112">
        <f t="shared" si="30"/>
        <v>-6.9166666666666519</v>
      </c>
      <c r="R182" s="32" t="str">
        <f t="shared" si="31"/>
        <v/>
      </c>
      <c r="S182" s="32" t="str">
        <f t="shared" si="32"/>
        <v/>
      </c>
      <c r="U182" s="32" t="str">
        <f t="shared" si="27"/>
        <v/>
      </c>
      <c r="W182" s="30" t="str" cm="1">
        <f t="array" ref="W182">IF($AO$21="INVERT",R182,IF(W181&gt;=$S$12,"",IF(R181="","",INDEX($R$18:$R$227,$U$17-ROWS($R$18:$R181)))))</f>
        <v/>
      </c>
      <c r="X182" s="30" t="str">
        <f t="shared" si="28"/>
        <v/>
      </c>
      <c r="Y182" s="30" t="str">
        <f>IF(Y181="","",IF($AO$21="TYP",IF(S181="","",INDEX($S$18:$S$227,$U$17-ROWS($S$18:$S181))),IF($AO$21="INVERT",S182,"")))</f>
        <v/>
      </c>
      <c r="Z182" s="75" t="str">
        <f t="shared" si="33"/>
        <v/>
      </c>
    </row>
    <row r="183" spans="1:26" x14ac:dyDescent="0.2">
      <c r="A183" s="32" t="str">
        <f t="shared" si="23"/>
        <v/>
      </c>
      <c r="C183" s="35" t="str">
        <f>IF(OR(C182=1,C182=""),"",'Imperial Calcs'!B179)</f>
        <v/>
      </c>
      <c r="D183" s="30" t="str">
        <f>IF(C183="","",'Imperial Calcs'!C179)</f>
        <v/>
      </c>
      <c r="E183" s="30" t="str">
        <f>IF(OR(C182=1,C182=""),"",IF('Imperial Data'!$B$2,'Imperial Calcs'!D179,'Imperial Calcs'!E179))</f>
        <v/>
      </c>
      <c r="F183" s="30" t="str">
        <f>IF(OR(C182=1,C182=""),"",IF('Imperial Data'!$B$2,'Imperial Calcs'!E179,'Imperial Calcs'!G179))</f>
        <v/>
      </c>
      <c r="G183" s="30" t="str">
        <f>IF(OR(C182=1,C182=""),"",IF('Imperial Data'!$B$2,'Imperial Calcs'!F179,'Imperial Calcs'!J179))</f>
        <v/>
      </c>
      <c r="H183" s="30" t="str">
        <f>IF(OR(C182=1,C182=""),"",IF('Imperial Data'!$B$2,'Imperial Calcs'!G179,'Imperial Calcs'!M179))</f>
        <v/>
      </c>
      <c r="I183" s="30" t="str">
        <f>IF(C183="","",IF('Imperial Data'!$B$2,'Imperial Calcs'!J179,'Imperial Calcs'!Y179))</f>
        <v/>
      </c>
      <c r="J183" s="30" t="str">
        <f>IF('Imperial Data'!$B$2,'Imperial Calcs'!M179,"")</f>
        <v/>
      </c>
      <c r="K183" s="30" t="str">
        <f>IF('Imperial Data'!$B$2,'Imperial Calcs'!Y179,"")</f>
        <v/>
      </c>
      <c r="L183" s="37" t="str">
        <f>IF('Imperial Data'!$B$2,J183,H183)</f>
        <v/>
      </c>
      <c r="M183" s="112" t="str">
        <f>IF('Imperial Data'!$B$2,K183,I183)</f>
        <v/>
      </c>
      <c r="O183" s="32" t="str">
        <f t="shared" si="29"/>
        <v/>
      </c>
      <c r="Q183" s="112">
        <f t="shared" si="30"/>
        <v>-6.9999999999999849</v>
      </c>
      <c r="R183" s="32" t="str">
        <f t="shared" si="31"/>
        <v/>
      </c>
      <c r="S183" s="32" t="str">
        <f t="shared" si="32"/>
        <v/>
      </c>
      <c r="U183" s="32" t="str">
        <f t="shared" si="27"/>
        <v/>
      </c>
      <c r="W183" s="30" t="str" cm="1">
        <f t="array" ref="W183">IF($AO$21="INVERT",R183,IF(W182&gt;=$S$12,"",IF(R182="","",INDEX($R$18:$R$227,$U$17-ROWS($R$18:$R182)))))</f>
        <v/>
      </c>
      <c r="X183" s="30" t="str">
        <f t="shared" si="28"/>
        <v/>
      </c>
      <c r="Y183" s="30" t="str">
        <f>IF(Y182="","",IF($AO$21="TYP",IF(S182="","",INDEX($S$18:$S$227,$U$17-ROWS($S$18:$S182))),IF($AO$21="INVERT",S183,"")))</f>
        <v/>
      </c>
      <c r="Z183" s="75" t="str">
        <f t="shared" si="33"/>
        <v/>
      </c>
    </row>
    <row r="184" spans="1:26" x14ac:dyDescent="0.2">
      <c r="A184" s="32" t="str">
        <f t="shared" si="23"/>
        <v/>
      </c>
      <c r="C184" s="35" t="str">
        <f>IF(OR(C183=1,C183=""),"",'Imperial Calcs'!B180)</f>
        <v/>
      </c>
      <c r="D184" s="30" t="str">
        <f>IF(C184="","",'Imperial Calcs'!C180)</f>
        <v/>
      </c>
      <c r="E184" s="30" t="str">
        <f>IF(OR(C183=1,C183=""),"",IF('Imperial Data'!$B$2,'Imperial Calcs'!D180,'Imperial Calcs'!E180))</f>
        <v/>
      </c>
      <c r="F184" s="30" t="str">
        <f>IF(OR(C183=1,C183=""),"",IF('Imperial Data'!$B$2,'Imperial Calcs'!E180,'Imperial Calcs'!G180))</f>
        <v/>
      </c>
      <c r="G184" s="30" t="str">
        <f>IF(OR(C183=1,C183=""),"",IF('Imperial Data'!$B$2,'Imperial Calcs'!F180,'Imperial Calcs'!J180))</f>
        <v/>
      </c>
      <c r="H184" s="30" t="str">
        <f>IF(OR(C183=1,C183=""),"",IF('Imperial Data'!$B$2,'Imperial Calcs'!G180,'Imperial Calcs'!M180))</f>
        <v/>
      </c>
      <c r="I184" s="30" t="str">
        <f>IF(C184="","",IF('Imperial Data'!$B$2,'Imperial Calcs'!J180,'Imperial Calcs'!Y180))</f>
        <v/>
      </c>
      <c r="J184" s="30" t="str">
        <f>IF('Imperial Data'!$B$2,'Imperial Calcs'!M180,"")</f>
        <v/>
      </c>
      <c r="K184" s="30" t="str">
        <f>IF('Imperial Data'!$B$2,'Imperial Calcs'!Y180,"")</f>
        <v/>
      </c>
      <c r="L184" s="37" t="str">
        <f>IF('Imperial Data'!$B$2,J184,H184)</f>
        <v/>
      </c>
      <c r="M184" s="112" t="str">
        <f>IF('Imperial Data'!$B$2,K184,I184)</f>
        <v/>
      </c>
      <c r="O184" s="32" t="str">
        <f t="shared" si="29"/>
        <v/>
      </c>
      <c r="Q184" s="112">
        <f t="shared" si="30"/>
        <v>-7.0833333333333179</v>
      </c>
      <c r="R184" s="32" t="str">
        <f t="shared" si="31"/>
        <v/>
      </c>
      <c r="S184" s="32" t="str">
        <f t="shared" si="32"/>
        <v/>
      </c>
      <c r="U184" s="32" t="str">
        <f t="shared" si="27"/>
        <v/>
      </c>
      <c r="W184" s="30" t="str" cm="1">
        <f t="array" ref="W184">IF($AO$21="INVERT",R184,IF(W183&gt;=$S$12,"",IF(R183="","",INDEX($R$18:$R$227,$U$17-ROWS($R$18:$R183)))))</f>
        <v/>
      </c>
      <c r="X184" s="30" t="str">
        <f t="shared" si="28"/>
        <v/>
      </c>
      <c r="Y184" s="30" t="str">
        <f>IF(Y183="","",IF($AO$21="TYP",IF(S183="","",INDEX($S$18:$S$227,$U$17-ROWS($S$18:$S183))),IF($AO$21="INVERT",S184,"")))</f>
        <v/>
      </c>
      <c r="Z184" s="75" t="str">
        <f t="shared" si="33"/>
        <v/>
      </c>
    </row>
    <row r="185" spans="1:26" x14ac:dyDescent="0.2">
      <c r="A185" s="32" t="str">
        <f t="shared" si="23"/>
        <v/>
      </c>
      <c r="C185" s="35" t="str">
        <f>IF(OR(C184=1,C184=""),"",'Imperial Calcs'!B181)</f>
        <v/>
      </c>
      <c r="D185" s="30" t="str">
        <f>IF(C185="","",'Imperial Calcs'!C181)</f>
        <v/>
      </c>
      <c r="E185" s="30" t="str">
        <f>IF(OR(C184=1,C184=""),"",IF('Imperial Data'!$B$2,'Imperial Calcs'!D181,'Imperial Calcs'!E181))</f>
        <v/>
      </c>
      <c r="F185" s="30" t="str">
        <f>IF(OR(C184=1,C184=""),"",IF('Imperial Data'!$B$2,'Imperial Calcs'!E181,'Imperial Calcs'!G181))</f>
        <v/>
      </c>
      <c r="G185" s="30" t="str">
        <f>IF(OR(C184=1,C184=""),"",IF('Imperial Data'!$B$2,'Imperial Calcs'!F181,'Imperial Calcs'!J181))</f>
        <v/>
      </c>
      <c r="H185" s="30" t="str">
        <f>IF(OR(C184=1,C184=""),"",IF('Imperial Data'!$B$2,'Imperial Calcs'!G181,'Imperial Calcs'!M181))</f>
        <v/>
      </c>
      <c r="I185" s="30" t="str">
        <f>IF(C185="","",IF('Imperial Data'!$B$2,'Imperial Calcs'!J181,'Imperial Calcs'!Y181))</f>
        <v/>
      </c>
      <c r="J185" s="30" t="str">
        <f>IF('Imperial Data'!$B$2,'Imperial Calcs'!M181,"")</f>
        <v/>
      </c>
      <c r="K185" s="30" t="str">
        <f>IF('Imperial Data'!$B$2,'Imperial Calcs'!Y181,"")</f>
        <v/>
      </c>
      <c r="L185" s="37" t="str">
        <f>IF('Imperial Data'!$B$2,J185,H185)</f>
        <v/>
      </c>
      <c r="M185" s="112" t="str">
        <f>IF('Imperial Data'!$B$2,K185,I185)</f>
        <v/>
      </c>
      <c r="O185" s="32" t="str">
        <f t="shared" si="29"/>
        <v/>
      </c>
      <c r="Q185" s="112">
        <f t="shared" si="30"/>
        <v>-7.166666666666651</v>
      </c>
      <c r="R185" s="32" t="str">
        <f t="shared" si="31"/>
        <v/>
      </c>
      <c r="S185" s="32" t="str">
        <f t="shared" si="32"/>
        <v/>
      </c>
      <c r="U185" s="32" t="str">
        <f t="shared" si="27"/>
        <v/>
      </c>
      <c r="W185" s="30" t="str" cm="1">
        <f t="array" ref="W185">IF($AO$21="INVERT",R185,IF(W184&gt;=$S$12,"",IF(R184="","",INDEX($R$18:$R$227,$U$17-ROWS($R$18:$R184)))))</f>
        <v/>
      </c>
      <c r="X185" s="30" t="str">
        <f t="shared" si="28"/>
        <v/>
      </c>
      <c r="Y185" s="30" t="str">
        <f>IF(Y184="","",IF($AO$21="TYP",IF(S184="","",INDEX($S$18:$S$227,$U$17-ROWS($S$18:$S184))),IF($AO$21="INVERT",S185,"")))</f>
        <v/>
      </c>
      <c r="Z185" s="75" t="str">
        <f t="shared" si="33"/>
        <v/>
      </c>
    </row>
    <row r="186" spans="1:26" x14ac:dyDescent="0.2">
      <c r="A186" s="32" t="str">
        <f t="shared" si="23"/>
        <v/>
      </c>
      <c r="C186" s="35" t="str">
        <f>IF(OR(C185=1,C185=""),"",'Imperial Calcs'!B182)</f>
        <v/>
      </c>
      <c r="D186" s="30" t="str">
        <f>IF(C186="","",'Imperial Calcs'!C182)</f>
        <v/>
      </c>
      <c r="E186" s="30" t="str">
        <f>IF(OR(C185=1,C185=""),"",IF('Imperial Data'!$B$2,'Imperial Calcs'!D182,'Imperial Calcs'!E182))</f>
        <v/>
      </c>
      <c r="F186" s="30" t="str">
        <f>IF(OR(C185=1,C185=""),"",IF('Imperial Data'!$B$2,'Imperial Calcs'!E182,'Imperial Calcs'!G182))</f>
        <v/>
      </c>
      <c r="G186" s="30" t="str">
        <f>IF(OR(C185=1,C185=""),"",IF('Imperial Data'!$B$2,'Imperial Calcs'!F182,'Imperial Calcs'!J182))</f>
        <v/>
      </c>
      <c r="H186" s="30" t="str">
        <f>IF(OR(C185=1,C185=""),"",IF('Imperial Data'!$B$2,'Imperial Calcs'!G182,'Imperial Calcs'!M182))</f>
        <v/>
      </c>
      <c r="I186" s="30" t="str">
        <f>IF(C186="","",IF('Imperial Data'!$B$2,'Imperial Calcs'!J182,'Imperial Calcs'!Y182))</f>
        <v/>
      </c>
      <c r="J186" s="30" t="str">
        <f>IF('Imperial Data'!$B$2,'Imperial Calcs'!M182,"")</f>
        <v/>
      </c>
      <c r="K186" s="30" t="str">
        <f>IF('Imperial Data'!$B$2,'Imperial Calcs'!Y182,"")</f>
        <v/>
      </c>
      <c r="L186" s="37" t="str">
        <f>IF('Imperial Data'!$B$2,J186,H186)</f>
        <v/>
      </c>
      <c r="M186" s="112" t="str">
        <f>IF('Imperial Data'!$B$2,K186,I186)</f>
        <v/>
      </c>
      <c r="O186" s="32" t="str">
        <f t="shared" si="29"/>
        <v/>
      </c>
      <c r="Q186" s="112">
        <f t="shared" si="30"/>
        <v>-7.249999999999984</v>
      </c>
      <c r="R186" s="32" t="str">
        <f t="shared" si="31"/>
        <v/>
      </c>
      <c r="S186" s="32" t="str">
        <f t="shared" si="32"/>
        <v/>
      </c>
      <c r="U186" s="32" t="str">
        <f t="shared" si="27"/>
        <v/>
      </c>
      <c r="W186" s="30" t="str" cm="1">
        <f t="array" ref="W186">IF($AO$21="INVERT",R186,IF(W185&gt;=$S$12,"",IF(R185="","",INDEX($R$18:$R$227,$U$17-ROWS($R$18:$R185)))))</f>
        <v/>
      </c>
      <c r="X186" s="30" t="str">
        <f t="shared" si="28"/>
        <v/>
      </c>
      <c r="Y186" s="30" t="str">
        <f>IF(Y185="","",IF($AO$21="TYP",IF(S185="","",INDEX($S$18:$S$227,$U$17-ROWS($S$18:$S185))),IF($AO$21="INVERT",S186,"")))</f>
        <v/>
      </c>
      <c r="Z186" s="75" t="str">
        <f t="shared" si="33"/>
        <v/>
      </c>
    </row>
    <row r="187" spans="1:26" x14ac:dyDescent="0.2">
      <c r="A187" s="32" t="str">
        <f t="shared" si="23"/>
        <v/>
      </c>
      <c r="C187" s="35" t="str">
        <f>IF(OR(C186=1,C186=""),"",'Imperial Calcs'!B183)</f>
        <v/>
      </c>
      <c r="D187" s="30" t="str">
        <f>IF(C187="","",'Imperial Calcs'!C183)</f>
        <v/>
      </c>
      <c r="E187" s="30" t="str">
        <f>IF(OR(C186=1,C186=""),"",IF('Imperial Data'!$B$2,'Imperial Calcs'!D183,'Imperial Calcs'!E183))</f>
        <v/>
      </c>
      <c r="F187" s="30" t="str">
        <f>IF(OR(C186=1,C186=""),"",IF('Imperial Data'!$B$2,'Imperial Calcs'!E183,'Imperial Calcs'!G183))</f>
        <v/>
      </c>
      <c r="G187" s="30" t="str">
        <f>IF(OR(C186=1,C186=""),"",IF('Imperial Data'!$B$2,'Imperial Calcs'!F183,'Imperial Calcs'!J183))</f>
        <v/>
      </c>
      <c r="H187" s="30" t="str">
        <f>IF(OR(C186=1,C186=""),"",IF('Imperial Data'!$B$2,'Imperial Calcs'!G183,'Imperial Calcs'!M183))</f>
        <v/>
      </c>
      <c r="I187" s="30" t="str">
        <f>IF(C187="","",IF('Imperial Data'!$B$2,'Imperial Calcs'!J183,'Imperial Calcs'!Y183))</f>
        <v/>
      </c>
      <c r="J187" s="30" t="str">
        <f>IF('Imperial Data'!$B$2,'Imperial Calcs'!M183,"")</f>
        <v/>
      </c>
      <c r="K187" s="30" t="str">
        <f>IF('Imperial Data'!$B$2,'Imperial Calcs'!Y183,"")</f>
        <v/>
      </c>
      <c r="L187" s="37" t="str">
        <f>IF('Imperial Data'!$B$2,J187,H187)</f>
        <v/>
      </c>
      <c r="M187" s="112" t="str">
        <f>IF('Imperial Data'!$B$2,K187,I187)</f>
        <v/>
      </c>
      <c r="O187" s="32" t="str">
        <f t="shared" si="29"/>
        <v/>
      </c>
      <c r="Q187" s="112">
        <f t="shared" si="30"/>
        <v>-7.3333333333333171</v>
      </c>
      <c r="R187" s="32" t="str">
        <f t="shared" si="31"/>
        <v/>
      </c>
      <c r="S187" s="32" t="str">
        <f t="shared" si="32"/>
        <v/>
      </c>
      <c r="U187" s="32" t="str">
        <f t="shared" si="27"/>
        <v/>
      </c>
      <c r="W187" s="30" t="str" cm="1">
        <f t="array" ref="W187">IF($AO$21="INVERT",R187,IF(W186&gt;=$S$12,"",IF(R186="","",INDEX($R$18:$R$227,$U$17-ROWS($R$18:$R186)))))</f>
        <v/>
      </c>
      <c r="X187" s="30" t="str">
        <f t="shared" si="28"/>
        <v/>
      </c>
      <c r="Y187" s="30" t="str">
        <f>IF(Y186="","",IF($AO$21="TYP",IF(S186="","",INDEX($S$18:$S$227,$U$17-ROWS($S$18:$S186))),IF($AO$21="INVERT",S187,"")))</f>
        <v/>
      </c>
      <c r="Z187" s="75" t="str">
        <f t="shared" si="33"/>
        <v/>
      </c>
    </row>
    <row r="188" spans="1:26" x14ac:dyDescent="0.2">
      <c r="A188" s="32" t="str">
        <f t="shared" si="23"/>
        <v/>
      </c>
      <c r="C188" s="35" t="str">
        <f>IF(OR(C187=1,C187=""),"",'Imperial Calcs'!B184)</f>
        <v/>
      </c>
      <c r="D188" s="30" t="str">
        <f>IF(C188="","",'Imperial Calcs'!C184)</f>
        <v/>
      </c>
      <c r="E188" s="30" t="str">
        <f>IF(OR(C187=1,C187=""),"",IF('Imperial Data'!$B$2,'Imperial Calcs'!D184,'Imperial Calcs'!E184))</f>
        <v/>
      </c>
      <c r="F188" s="30" t="str">
        <f>IF(OR(C187=1,C187=""),"",IF('Imperial Data'!$B$2,'Imperial Calcs'!E184,'Imperial Calcs'!G184))</f>
        <v/>
      </c>
      <c r="G188" s="30" t="str">
        <f>IF(OR(C187=1,C187=""),"",IF('Imperial Data'!$B$2,'Imperial Calcs'!F184,'Imperial Calcs'!J184))</f>
        <v/>
      </c>
      <c r="H188" s="30" t="str">
        <f>IF(OR(C187=1,C187=""),"",IF('Imperial Data'!$B$2,'Imperial Calcs'!G184,'Imperial Calcs'!M184))</f>
        <v/>
      </c>
      <c r="I188" s="30" t="str">
        <f>IF(C188="","",IF('Imperial Data'!$B$2,'Imperial Calcs'!J184,'Imperial Calcs'!Y184))</f>
        <v/>
      </c>
      <c r="J188" s="30" t="str">
        <f>IF('Imperial Data'!$B$2,'Imperial Calcs'!M184,"")</f>
        <v/>
      </c>
      <c r="K188" s="30" t="str">
        <f>IF('Imperial Data'!$B$2,'Imperial Calcs'!Y184,"")</f>
        <v/>
      </c>
      <c r="L188" s="37" t="str">
        <f>IF('Imperial Data'!$B$2,J188,H188)</f>
        <v/>
      </c>
      <c r="M188" s="112" t="str">
        <f>IF('Imperial Data'!$B$2,K188,I188)</f>
        <v/>
      </c>
      <c r="O188" s="32" t="str">
        <f t="shared" si="29"/>
        <v/>
      </c>
      <c r="Q188" s="112">
        <f t="shared" si="30"/>
        <v>-7.4166666666666501</v>
      </c>
      <c r="R188" s="32" t="str">
        <f t="shared" si="31"/>
        <v/>
      </c>
      <c r="S188" s="32" t="str">
        <f t="shared" si="32"/>
        <v/>
      </c>
      <c r="U188" s="32" t="str">
        <f t="shared" si="27"/>
        <v/>
      </c>
      <c r="W188" s="30" t="str" cm="1">
        <f t="array" ref="W188">IF($AO$21="INVERT",R188,IF(W187&gt;=$S$12,"",IF(R187="","",INDEX($R$18:$R$227,$U$17-ROWS($R$18:$R187)))))</f>
        <v/>
      </c>
      <c r="X188" s="30" t="str">
        <f t="shared" si="28"/>
        <v/>
      </c>
      <c r="Y188" s="30" t="str">
        <f>IF(Y187="","",IF($AO$21="TYP",IF(S187="","",INDEX($S$18:$S$227,$U$17-ROWS($S$18:$S187))),IF($AO$21="INVERT",S188,"")))</f>
        <v/>
      </c>
      <c r="Z188" s="75" t="str">
        <f t="shared" si="33"/>
        <v/>
      </c>
    </row>
    <row r="189" spans="1:26" x14ac:dyDescent="0.2">
      <c r="A189" s="32" t="str">
        <f t="shared" si="23"/>
        <v/>
      </c>
      <c r="C189" s="35" t="str">
        <f>IF(OR(C188=1,C188=""),"",'Imperial Calcs'!B185)</f>
        <v/>
      </c>
      <c r="D189" s="30" t="str">
        <f>IF(C189="","",'Imperial Calcs'!C185)</f>
        <v/>
      </c>
      <c r="E189" s="30" t="str">
        <f>IF(OR(C188=1,C188=""),"",IF('Imperial Data'!$B$2,'Imperial Calcs'!D185,'Imperial Calcs'!E185))</f>
        <v/>
      </c>
      <c r="F189" s="30" t="str">
        <f>IF(OR(C188=1,C188=""),"",IF('Imperial Data'!$B$2,'Imperial Calcs'!E185,'Imperial Calcs'!G185))</f>
        <v/>
      </c>
      <c r="G189" s="30" t="str">
        <f>IF(OR(C188=1,C188=""),"",IF('Imperial Data'!$B$2,'Imperial Calcs'!F185,'Imperial Calcs'!J185))</f>
        <v/>
      </c>
      <c r="H189" s="30" t="str">
        <f>IF(OR(C188=1,C188=""),"",IF('Imperial Data'!$B$2,'Imperial Calcs'!G185,'Imperial Calcs'!M185))</f>
        <v/>
      </c>
      <c r="I189" s="30" t="str">
        <f>IF(C189="","",IF('Imperial Data'!$B$2,'Imperial Calcs'!J185,'Imperial Calcs'!Y185))</f>
        <v/>
      </c>
      <c r="J189" s="30" t="str">
        <f>IF('Imperial Data'!$B$2,'Imperial Calcs'!M185,"")</f>
        <v/>
      </c>
      <c r="K189" s="30" t="str">
        <f>IF('Imperial Data'!$B$2,'Imperial Calcs'!Y185,"")</f>
        <v/>
      </c>
      <c r="L189" s="37" t="str">
        <f>IF('Imperial Data'!$B$2,J189,H189)</f>
        <v/>
      </c>
      <c r="M189" s="112" t="str">
        <f>IF('Imperial Data'!$B$2,K189,I189)</f>
        <v/>
      </c>
      <c r="O189" s="32" t="str">
        <f t="shared" si="29"/>
        <v/>
      </c>
      <c r="Q189" s="112">
        <f t="shared" si="30"/>
        <v>-7.4999999999999831</v>
      </c>
      <c r="R189" s="32" t="str">
        <f t="shared" si="31"/>
        <v/>
      </c>
      <c r="S189" s="32" t="str">
        <f t="shared" si="32"/>
        <v/>
      </c>
      <c r="U189" s="32" t="str">
        <f t="shared" si="27"/>
        <v/>
      </c>
      <c r="W189" s="30" t="str" cm="1">
        <f t="array" ref="W189">IF($AO$21="INVERT",R189,IF(W188&gt;=$S$12,"",IF(R188="","",INDEX($R$18:$R$227,$U$17-ROWS($R$18:$R188)))))</f>
        <v/>
      </c>
      <c r="X189" s="30" t="str">
        <f t="shared" si="28"/>
        <v/>
      </c>
      <c r="Y189" s="30" t="str">
        <f>IF(Y188="","",IF($AO$21="TYP",IF(S188="","",INDEX($S$18:$S$227,$U$17-ROWS($S$18:$S188))),IF($AO$21="INVERT",S189,"")))</f>
        <v/>
      </c>
      <c r="Z189" s="75" t="str">
        <f t="shared" si="33"/>
        <v/>
      </c>
    </row>
    <row r="190" spans="1:26" x14ac:dyDescent="0.2">
      <c r="A190" s="32" t="str">
        <f t="shared" si="23"/>
        <v/>
      </c>
      <c r="C190" s="35" t="str">
        <f>IF(OR(C189=1,C189=""),"",'Imperial Calcs'!B186)</f>
        <v/>
      </c>
      <c r="D190" s="30" t="str">
        <f>IF(C190="","",'Imperial Calcs'!C186)</f>
        <v/>
      </c>
      <c r="E190" s="30" t="str">
        <f>IF(OR(C189=1,C189=""),"",IF('Imperial Data'!$B$2,'Imperial Calcs'!D186,'Imperial Calcs'!E186))</f>
        <v/>
      </c>
      <c r="F190" s="30" t="str">
        <f>IF(OR(C189=1,C189=""),"",IF('Imperial Data'!$B$2,'Imperial Calcs'!E186,'Imperial Calcs'!G186))</f>
        <v/>
      </c>
      <c r="G190" s="30" t="str">
        <f>IF(OR(C189=1,C189=""),"",IF('Imperial Data'!$B$2,'Imperial Calcs'!F186,'Imperial Calcs'!J186))</f>
        <v/>
      </c>
      <c r="H190" s="30" t="str">
        <f>IF(OR(C189=1,C189=""),"",IF('Imperial Data'!$B$2,'Imperial Calcs'!G186,'Imperial Calcs'!M186))</f>
        <v/>
      </c>
      <c r="I190" s="30" t="str">
        <f>IF(C190="","",IF('Imperial Data'!$B$2,'Imperial Calcs'!J186,'Imperial Calcs'!Y186))</f>
        <v/>
      </c>
      <c r="J190" s="30" t="str">
        <f>IF('Imperial Data'!$B$2,'Imperial Calcs'!M186,"")</f>
        <v/>
      </c>
      <c r="K190" s="30" t="str">
        <f>IF('Imperial Data'!$B$2,'Imperial Calcs'!Y186,"")</f>
        <v/>
      </c>
      <c r="L190" s="37" t="str">
        <f>IF('Imperial Data'!$B$2,J190,H190)</f>
        <v/>
      </c>
      <c r="M190" s="112" t="str">
        <f>IF('Imperial Data'!$B$2,K190,I190)</f>
        <v/>
      </c>
      <c r="O190" s="32" t="str">
        <f t="shared" si="29"/>
        <v/>
      </c>
      <c r="Q190" s="112">
        <f t="shared" si="30"/>
        <v>-7.5833333333333162</v>
      </c>
      <c r="R190" s="32" t="str">
        <f t="shared" si="31"/>
        <v/>
      </c>
      <c r="S190" s="32" t="str">
        <f t="shared" si="32"/>
        <v/>
      </c>
      <c r="U190" s="32" t="str">
        <f t="shared" si="27"/>
        <v/>
      </c>
      <c r="W190" s="30" t="str" cm="1">
        <f t="array" ref="W190">IF($AO$21="INVERT",R190,IF(W189&gt;=$S$12,"",IF(R189="","",INDEX($R$18:$R$227,$U$17-ROWS($R$18:$R189)))))</f>
        <v/>
      </c>
      <c r="X190" s="30" t="str">
        <f t="shared" si="28"/>
        <v/>
      </c>
      <c r="Y190" s="30" t="str">
        <f>IF(Y189="","",IF($AO$21="TYP",IF(S189="","",INDEX($S$18:$S$227,$U$17-ROWS($S$18:$S189))),IF($AO$21="INVERT",S190,"")))</f>
        <v/>
      </c>
      <c r="Z190" s="75" t="str">
        <f t="shared" si="33"/>
        <v/>
      </c>
    </row>
    <row r="191" spans="1:26" x14ac:dyDescent="0.2">
      <c r="A191" s="32" t="str">
        <f t="shared" si="23"/>
        <v/>
      </c>
      <c r="C191" s="35" t="str">
        <f>IF(OR(C190=1,C190=""),"",'Imperial Calcs'!B187)</f>
        <v/>
      </c>
      <c r="D191" s="30" t="str">
        <f>IF(C191="","",'Imperial Calcs'!C187)</f>
        <v/>
      </c>
      <c r="E191" s="30" t="str">
        <f>IF(OR(C190=1,C190=""),"",IF('Imperial Data'!$B$2,'Imperial Calcs'!D187,'Imperial Calcs'!E187))</f>
        <v/>
      </c>
      <c r="F191" s="30" t="str">
        <f>IF(OR(C190=1,C190=""),"",IF('Imperial Data'!$B$2,'Imperial Calcs'!E187,'Imperial Calcs'!G187))</f>
        <v/>
      </c>
      <c r="G191" s="30" t="str">
        <f>IF(OR(C190=1,C190=""),"",IF('Imperial Data'!$B$2,'Imperial Calcs'!F187,'Imperial Calcs'!J187))</f>
        <v/>
      </c>
      <c r="H191" s="30" t="str">
        <f>IF(OR(C190=1,C190=""),"",IF('Imperial Data'!$B$2,'Imperial Calcs'!G187,'Imperial Calcs'!M187))</f>
        <v/>
      </c>
      <c r="I191" s="30" t="str">
        <f>IF(C191="","",IF('Imperial Data'!$B$2,'Imperial Calcs'!J187,'Imperial Calcs'!Y187))</f>
        <v/>
      </c>
      <c r="J191" s="30" t="str">
        <f>IF('Imperial Data'!$B$2,'Imperial Calcs'!M187,"")</f>
        <v/>
      </c>
      <c r="K191" s="30" t="str">
        <f>IF('Imperial Data'!$B$2,'Imperial Calcs'!Y187,"")</f>
        <v/>
      </c>
      <c r="L191" s="37" t="str">
        <f>IF('Imperial Data'!$B$2,J191,H191)</f>
        <v/>
      </c>
      <c r="M191" s="112" t="str">
        <f>IF('Imperial Data'!$B$2,K191,I191)</f>
        <v/>
      </c>
      <c r="O191" s="32" t="str">
        <f t="shared" si="29"/>
        <v/>
      </c>
      <c r="Q191" s="112">
        <f t="shared" si="30"/>
        <v>-7.6666666666666492</v>
      </c>
      <c r="R191" s="32" t="str">
        <f t="shared" si="31"/>
        <v/>
      </c>
      <c r="S191" s="32" t="str">
        <f t="shared" si="32"/>
        <v/>
      </c>
      <c r="U191" s="32" t="str">
        <f t="shared" si="27"/>
        <v/>
      </c>
      <c r="W191" s="30" t="str" cm="1">
        <f t="array" ref="W191">IF($AO$21="INVERT",R191,IF(W190&gt;=$S$12,"",IF(R190="","",INDEX($R$18:$R$227,$U$17-ROWS($R$18:$R190)))))</f>
        <v/>
      </c>
      <c r="X191" s="30" t="str">
        <f t="shared" si="28"/>
        <v/>
      </c>
      <c r="Y191" s="30" t="str">
        <f>IF(Y190="","",IF($AO$21="TYP",IF(S190="","",INDEX($S$18:$S$227,$U$17-ROWS($S$18:$S190))),IF($AO$21="INVERT",S191,"")))</f>
        <v/>
      </c>
      <c r="Z191" s="75" t="str">
        <f t="shared" si="33"/>
        <v/>
      </c>
    </row>
    <row r="192" spans="1:26" x14ac:dyDescent="0.2">
      <c r="A192" s="32" t="str">
        <f t="shared" si="23"/>
        <v/>
      </c>
      <c r="C192" s="35" t="str">
        <f>IF(OR(C191=1,C191=""),"",'Imperial Calcs'!B188)</f>
        <v/>
      </c>
      <c r="D192" s="30" t="str">
        <f>IF(C192="","",'Imperial Calcs'!C188)</f>
        <v/>
      </c>
      <c r="E192" s="30" t="str">
        <f>IF(OR(C191=1,C191=""),"",IF('Imperial Data'!$B$2,'Imperial Calcs'!D188,'Imperial Calcs'!E188))</f>
        <v/>
      </c>
      <c r="F192" s="30" t="str">
        <f>IF(OR(C191=1,C191=""),"",IF('Imperial Data'!$B$2,'Imperial Calcs'!E188,'Imperial Calcs'!G188))</f>
        <v/>
      </c>
      <c r="G192" s="30" t="str">
        <f>IF(OR(C191=1,C191=""),"",IF('Imperial Data'!$B$2,'Imperial Calcs'!F188,'Imperial Calcs'!J188))</f>
        <v/>
      </c>
      <c r="H192" s="30" t="str">
        <f>IF(OR(C191=1,C191=""),"",IF('Imperial Data'!$B$2,'Imperial Calcs'!G188,'Imperial Calcs'!M188))</f>
        <v/>
      </c>
      <c r="I192" s="30" t="str">
        <f>IF(C192="","",IF('Imperial Data'!$B$2,'Imperial Calcs'!J188,'Imperial Calcs'!Y188))</f>
        <v/>
      </c>
      <c r="J192" s="30" t="str">
        <f>IF('Imperial Data'!$B$2,'Imperial Calcs'!M188,"")</f>
        <v/>
      </c>
      <c r="K192" s="30" t="str">
        <f>IF('Imperial Data'!$B$2,'Imperial Calcs'!Y188,"")</f>
        <v/>
      </c>
      <c r="L192" s="37" t="str">
        <f>IF('Imperial Data'!$B$2,J192,H192)</f>
        <v/>
      </c>
      <c r="M192" s="112" t="str">
        <f>IF('Imperial Data'!$B$2,K192,I192)</f>
        <v/>
      </c>
      <c r="O192" s="32" t="str">
        <f t="shared" si="29"/>
        <v/>
      </c>
      <c r="Q192" s="112">
        <f t="shared" si="30"/>
        <v>-7.7499999999999822</v>
      </c>
      <c r="R192" s="32" t="str">
        <f t="shared" si="31"/>
        <v/>
      </c>
      <c r="S192" s="32" t="str">
        <f t="shared" si="32"/>
        <v/>
      </c>
      <c r="U192" s="32" t="str">
        <f t="shared" si="27"/>
        <v/>
      </c>
      <c r="W192" s="30" t="str" cm="1">
        <f t="array" ref="W192">IF($AO$21="INVERT",R192,IF(W191&gt;=$S$12,"",IF(R191="","",INDEX($R$18:$R$227,$U$17-ROWS($R$18:$R191)))))</f>
        <v/>
      </c>
      <c r="X192" s="30" t="str">
        <f t="shared" si="28"/>
        <v/>
      </c>
      <c r="Y192" s="30" t="str">
        <f>IF(Y191="","",IF($AO$21="TYP",IF(S191="","",INDEX($S$18:$S$227,$U$17-ROWS($S$18:$S191))),IF($AO$21="INVERT",S192,"")))</f>
        <v/>
      </c>
      <c r="Z192" s="75" t="str">
        <f t="shared" si="33"/>
        <v/>
      </c>
    </row>
    <row r="193" spans="1:26" x14ac:dyDescent="0.2">
      <c r="A193" s="32" t="str">
        <f t="shared" si="23"/>
        <v/>
      </c>
      <c r="C193" s="35" t="str">
        <f>IF(OR(C192=1,C192=""),"",'Imperial Calcs'!B189)</f>
        <v/>
      </c>
      <c r="D193" s="30" t="str">
        <f>IF(C193="","",'Imperial Calcs'!C189)</f>
        <v/>
      </c>
      <c r="E193" s="30" t="str">
        <f>IF(OR(C192=1,C192=""),"",IF('Imperial Data'!$B$2,'Imperial Calcs'!D189,'Imperial Calcs'!E189))</f>
        <v/>
      </c>
      <c r="F193" s="30" t="str">
        <f>IF(OR(C192=1,C192=""),"",IF('Imperial Data'!$B$2,'Imperial Calcs'!E189,'Imperial Calcs'!G189))</f>
        <v/>
      </c>
      <c r="G193" s="30" t="str">
        <f>IF(OR(C192=1,C192=""),"",IF('Imperial Data'!$B$2,'Imperial Calcs'!F189,'Imperial Calcs'!J189))</f>
        <v/>
      </c>
      <c r="H193" s="30" t="str">
        <f>IF(OR(C192=1,C192=""),"",IF('Imperial Data'!$B$2,'Imperial Calcs'!G189,'Imperial Calcs'!M189))</f>
        <v/>
      </c>
      <c r="I193" s="30" t="str">
        <f>IF(C193="","",IF('Imperial Data'!$B$2,'Imperial Calcs'!J189,'Imperial Calcs'!Y189))</f>
        <v/>
      </c>
      <c r="J193" s="30" t="str">
        <f>IF('Imperial Data'!$B$2,'Imperial Calcs'!M189,"")</f>
        <v/>
      </c>
      <c r="K193" s="30" t="str">
        <f>IF('Imperial Data'!$B$2,'Imperial Calcs'!Y189,"")</f>
        <v/>
      </c>
      <c r="L193" s="37" t="str">
        <f>IF('Imperial Data'!$B$2,J193,H193)</f>
        <v/>
      </c>
      <c r="M193" s="112" t="str">
        <f>IF('Imperial Data'!$B$2,K193,I193)</f>
        <v/>
      </c>
      <c r="O193" s="32" t="str">
        <f t="shared" si="29"/>
        <v/>
      </c>
      <c r="Q193" s="112">
        <f t="shared" si="30"/>
        <v>-7.8333333333333153</v>
      </c>
      <c r="R193" s="32" t="str">
        <f t="shared" si="31"/>
        <v/>
      </c>
      <c r="S193" s="32" t="str">
        <f t="shared" si="32"/>
        <v/>
      </c>
      <c r="U193" s="32" t="str">
        <f t="shared" si="27"/>
        <v/>
      </c>
      <c r="W193" s="30" t="str" cm="1">
        <f t="array" ref="W193">IF($AO$21="INVERT",R193,IF(W192&gt;=$S$12,"",IF(R192="","",INDEX($R$18:$R$227,$U$17-ROWS($R$18:$R192)))))</f>
        <v/>
      </c>
      <c r="X193" s="30" t="str">
        <f t="shared" si="28"/>
        <v/>
      </c>
      <c r="Y193" s="30" t="str">
        <f>IF(Y192="","",IF($AO$21="TYP",IF(S192="","",INDEX($S$18:$S$227,$U$17-ROWS($S$18:$S192))),IF($AO$21="INVERT",S193,"")))</f>
        <v/>
      </c>
      <c r="Z193" s="75" t="str">
        <f t="shared" si="33"/>
        <v/>
      </c>
    </row>
    <row r="194" spans="1:26" x14ac:dyDescent="0.2">
      <c r="A194" s="32" t="str">
        <f t="shared" si="23"/>
        <v/>
      </c>
      <c r="C194" s="35" t="str">
        <f>IF(OR(C193=1,C193=""),"",'Imperial Calcs'!B190)</f>
        <v/>
      </c>
      <c r="D194" s="30" t="str">
        <f>IF(C194="","",'Imperial Calcs'!C190)</f>
        <v/>
      </c>
      <c r="E194" s="30" t="str">
        <f>IF(OR(C193=1,C193=""),"",IF('Imperial Data'!$B$2,'Imperial Calcs'!D190,'Imperial Calcs'!E190))</f>
        <v/>
      </c>
      <c r="F194" s="30" t="str">
        <f>IF(OR(C193=1,C193=""),"",IF('Imperial Data'!$B$2,'Imperial Calcs'!E190,'Imperial Calcs'!G190))</f>
        <v/>
      </c>
      <c r="G194" s="30" t="str">
        <f>IF(OR(C193=1,C193=""),"",IF('Imperial Data'!$B$2,'Imperial Calcs'!F190,'Imperial Calcs'!J190))</f>
        <v/>
      </c>
      <c r="H194" s="30" t="str">
        <f>IF(OR(C193=1,C193=""),"",IF('Imperial Data'!$B$2,'Imperial Calcs'!G190,'Imperial Calcs'!M190))</f>
        <v/>
      </c>
      <c r="I194" s="30" t="str">
        <f>IF(C194="","",IF('Imperial Data'!$B$2,'Imperial Calcs'!J190,'Imperial Calcs'!Y190))</f>
        <v/>
      </c>
      <c r="J194" s="30" t="str">
        <f>IF('Imperial Data'!$B$2,'Imperial Calcs'!M190,"")</f>
        <v/>
      </c>
      <c r="K194" s="30" t="str">
        <f>IF('Imperial Data'!$B$2,'Imperial Calcs'!Y190,"")</f>
        <v/>
      </c>
      <c r="L194" s="37" t="str">
        <f>IF('Imperial Data'!$B$2,J194,H194)</f>
        <v/>
      </c>
      <c r="M194" s="112" t="str">
        <f>IF('Imperial Data'!$B$2,K194,I194)</f>
        <v/>
      </c>
      <c r="O194" s="32" t="str">
        <f t="shared" si="29"/>
        <v/>
      </c>
      <c r="Q194" s="112">
        <f t="shared" si="30"/>
        <v>-7.9166666666666483</v>
      </c>
      <c r="R194" s="32" t="str">
        <f t="shared" si="31"/>
        <v/>
      </c>
      <c r="S194" s="32" t="str">
        <f t="shared" si="32"/>
        <v/>
      </c>
      <c r="U194" s="32" t="str">
        <f t="shared" si="27"/>
        <v/>
      </c>
      <c r="W194" s="30" t="str" cm="1">
        <f t="array" ref="W194">IF($AO$21="INVERT",R194,IF(W193&gt;=$S$12,"",IF(R193="","",INDEX($R$18:$R$227,$U$17-ROWS($R$18:$R193)))))</f>
        <v/>
      </c>
      <c r="X194" s="30" t="str">
        <f t="shared" si="28"/>
        <v/>
      </c>
      <c r="Y194" s="30" t="str">
        <f>IF(Y193="","",IF($AO$21="TYP",IF(S193="","",INDEX($S$18:$S$227,$U$17-ROWS($S$18:$S193))),IF($AO$21="INVERT",S194,"")))</f>
        <v/>
      </c>
      <c r="Z194" s="75" t="str">
        <f t="shared" si="33"/>
        <v/>
      </c>
    </row>
    <row r="195" spans="1:26" x14ac:dyDescent="0.2">
      <c r="A195" s="32" t="str">
        <f t="shared" si="23"/>
        <v/>
      </c>
      <c r="C195" s="35" t="str">
        <f>IF(OR(C194=1,C194=""),"",'Imperial Calcs'!B191)</f>
        <v/>
      </c>
      <c r="D195" s="30" t="str">
        <f>IF(C195="","",'Imperial Calcs'!C191)</f>
        <v/>
      </c>
      <c r="E195" s="30" t="str">
        <f>IF(OR(C194=1,C194=""),"",IF('Imperial Data'!$B$2,'Imperial Calcs'!D191,'Imperial Calcs'!E191))</f>
        <v/>
      </c>
      <c r="F195" s="30" t="str">
        <f>IF(OR(C194=1,C194=""),"",IF('Imperial Data'!$B$2,'Imperial Calcs'!E191,'Imperial Calcs'!G191))</f>
        <v/>
      </c>
      <c r="G195" s="30" t="str">
        <f>IF(OR(C194=1,C194=""),"",IF('Imperial Data'!$B$2,'Imperial Calcs'!F191,'Imperial Calcs'!J191))</f>
        <v/>
      </c>
      <c r="H195" s="30" t="str">
        <f>IF(OR(C194=1,C194=""),"",IF('Imperial Data'!$B$2,'Imperial Calcs'!G191,'Imperial Calcs'!M191))</f>
        <v/>
      </c>
      <c r="I195" s="30" t="str">
        <f>IF(C195="","",IF('Imperial Data'!$B$2,'Imperial Calcs'!J191,'Imperial Calcs'!Y191))</f>
        <v/>
      </c>
      <c r="J195" s="30" t="str">
        <f>IF('Imperial Data'!$B$2,'Imperial Calcs'!M191,"")</f>
        <v/>
      </c>
      <c r="K195" s="30" t="str">
        <f>IF('Imperial Data'!$B$2,'Imperial Calcs'!Y191,"")</f>
        <v/>
      </c>
      <c r="L195" s="37" t="str">
        <f>IF('Imperial Data'!$B$2,J195,H195)</f>
        <v/>
      </c>
      <c r="M195" s="112" t="str">
        <f>IF('Imperial Data'!$B$2,K195,I195)</f>
        <v/>
      </c>
      <c r="O195" s="32" t="str">
        <f t="shared" si="29"/>
        <v/>
      </c>
      <c r="Q195" s="112">
        <f t="shared" si="30"/>
        <v>-7.9999999999999813</v>
      </c>
      <c r="R195" s="32" t="str">
        <f t="shared" si="31"/>
        <v/>
      </c>
      <c r="S195" s="32" t="str">
        <f t="shared" si="32"/>
        <v/>
      </c>
      <c r="U195" s="32" t="str">
        <f t="shared" si="27"/>
        <v/>
      </c>
      <c r="W195" s="30" t="str" cm="1">
        <f t="array" ref="W195">IF($AO$21="INVERT",R195,IF(W194&gt;=$S$12,"",IF(R194="","",INDEX($R$18:$R$227,$U$17-ROWS($R$18:$R194)))))</f>
        <v/>
      </c>
      <c r="X195" s="30" t="str">
        <f t="shared" si="28"/>
        <v/>
      </c>
      <c r="Y195" s="30" t="str">
        <f>IF(Y194="","",IF($AO$21="TYP",IF(S194="","",INDEX($S$18:$S$227,$U$17-ROWS($S$18:$S194))),IF($AO$21="INVERT",S195,"")))</f>
        <v/>
      </c>
      <c r="Z195" s="75" t="str">
        <f t="shared" si="33"/>
        <v/>
      </c>
    </row>
    <row r="196" spans="1:26" x14ac:dyDescent="0.2">
      <c r="A196" s="32" t="str">
        <f t="shared" si="23"/>
        <v/>
      </c>
      <c r="C196" s="35" t="str">
        <f>IF(OR(C195=1,C195=""),"",'Imperial Calcs'!B192)</f>
        <v/>
      </c>
      <c r="D196" s="30" t="str">
        <f>IF(C196="","",'Imperial Calcs'!C192)</f>
        <v/>
      </c>
      <c r="E196" s="30" t="str">
        <f>IF(OR(C195=1,C195=""),"",IF('Imperial Data'!$B$2,'Imperial Calcs'!D192,'Imperial Calcs'!E192))</f>
        <v/>
      </c>
      <c r="F196" s="30" t="str">
        <f>IF(OR(C195=1,C195=""),"",IF('Imperial Data'!$B$2,'Imperial Calcs'!E192,'Imperial Calcs'!G192))</f>
        <v/>
      </c>
      <c r="G196" s="30" t="str">
        <f>IF(OR(C195=1,C195=""),"",IF('Imperial Data'!$B$2,'Imperial Calcs'!F192,'Imperial Calcs'!J192))</f>
        <v/>
      </c>
      <c r="H196" s="30" t="str">
        <f>IF(OR(C195=1,C195=""),"",IF('Imperial Data'!$B$2,'Imperial Calcs'!G192,'Imperial Calcs'!M192))</f>
        <v/>
      </c>
      <c r="I196" s="30" t="str">
        <f>IF(C196="","",IF('Imperial Data'!$B$2,'Imperial Calcs'!J192,'Imperial Calcs'!Y192))</f>
        <v/>
      </c>
      <c r="J196" s="30" t="str">
        <f>IF('Imperial Data'!$B$2,'Imperial Calcs'!M192,"")</f>
        <v/>
      </c>
      <c r="K196" s="30" t="str">
        <f>IF('Imperial Data'!$B$2,'Imperial Calcs'!Y192,"")</f>
        <v/>
      </c>
      <c r="L196" s="37" t="str">
        <f>IF('Imperial Data'!$B$2,J196,H196)</f>
        <v/>
      </c>
      <c r="M196" s="112" t="str">
        <f>IF('Imperial Data'!$B$2,K196,I196)</f>
        <v/>
      </c>
      <c r="O196" s="32" t="str">
        <f t="shared" si="29"/>
        <v/>
      </c>
      <c r="Q196" s="112">
        <f t="shared" si="30"/>
        <v>-8.0833333333333144</v>
      </c>
      <c r="R196" s="32" t="str">
        <f t="shared" si="31"/>
        <v/>
      </c>
      <c r="S196" s="32" t="str">
        <f t="shared" si="32"/>
        <v/>
      </c>
      <c r="U196" s="32" t="str">
        <f t="shared" si="27"/>
        <v/>
      </c>
      <c r="W196" s="30" t="str" cm="1">
        <f t="array" ref="W196">IF($AO$21="INVERT",R196,IF(W195&gt;=$S$12,"",IF(R195="","",INDEX($R$18:$R$227,$U$17-ROWS($R$18:$R195)))))</f>
        <v/>
      </c>
      <c r="X196" s="30" t="str">
        <f t="shared" si="28"/>
        <v/>
      </c>
      <c r="Y196" s="30" t="str">
        <f>IF(Y195="","",IF($AO$21="TYP",IF(S195="","",INDEX($S$18:$S$227,$U$17-ROWS($S$18:$S195))),IF($AO$21="INVERT",S196,"")))</f>
        <v/>
      </c>
      <c r="Z196" s="75" t="str">
        <f t="shared" si="33"/>
        <v/>
      </c>
    </row>
    <row r="197" spans="1:26" x14ac:dyDescent="0.2">
      <c r="A197" s="32" t="str">
        <f t="shared" si="23"/>
        <v/>
      </c>
      <c r="C197" s="35" t="str">
        <f>IF(OR(C196=1,C196=""),"",'Imperial Calcs'!B193)</f>
        <v/>
      </c>
      <c r="D197" s="30" t="str">
        <f>IF(C197="","",'Imperial Calcs'!C193)</f>
        <v/>
      </c>
      <c r="E197" s="30" t="str">
        <f>IF(OR(C196=1,C196=""),"",IF('Imperial Data'!$B$2,'Imperial Calcs'!D193,'Imperial Calcs'!E193))</f>
        <v/>
      </c>
      <c r="F197" s="30" t="str">
        <f>IF(OR(C196=1,C196=""),"",IF('Imperial Data'!$B$2,'Imperial Calcs'!E193,'Imperial Calcs'!G193))</f>
        <v/>
      </c>
      <c r="G197" s="30" t="str">
        <f>IF(OR(C196=1,C196=""),"",IF('Imperial Data'!$B$2,'Imperial Calcs'!F193,'Imperial Calcs'!J193))</f>
        <v/>
      </c>
      <c r="H197" s="30" t="str">
        <f>IF(OR(C196=1,C196=""),"",IF('Imperial Data'!$B$2,'Imperial Calcs'!G193,'Imperial Calcs'!M193))</f>
        <v/>
      </c>
      <c r="I197" s="30" t="str">
        <f>IF(C197="","",IF('Imperial Data'!$B$2,'Imperial Calcs'!J193,'Imperial Calcs'!Y193))</f>
        <v/>
      </c>
      <c r="J197" s="30" t="str">
        <f>IF('Imperial Data'!$B$2,'Imperial Calcs'!M193,"")</f>
        <v/>
      </c>
      <c r="K197" s="30" t="str">
        <f>IF('Imperial Data'!$B$2,'Imperial Calcs'!Y193,"")</f>
        <v/>
      </c>
      <c r="L197" s="37" t="str">
        <f>IF('Imperial Data'!$B$2,J197,H197)</f>
        <v/>
      </c>
      <c r="M197" s="112" t="str">
        <f>IF('Imperial Data'!$B$2,K197,I197)</f>
        <v/>
      </c>
      <c r="O197" s="32" t="str">
        <f t="shared" si="29"/>
        <v/>
      </c>
      <c r="Q197" s="112">
        <f t="shared" si="30"/>
        <v>-8.1666666666666483</v>
      </c>
      <c r="R197" s="32" t="str">
        <f t="shared" si="31"/>
        <v/>
      </c>
      <c r="S197" s="32" t="str">
        <f t="shared" si="32"/>
        <v/>
      </c>
      <c r="U197" s="32" t="str">
        <f t="shared" si="27"/>
        <v/>
      </c>
      <c r="W197" s="30" t="str" cm="1">
        <f t="array" ref="W197">IF($AO$21="INVERT",R197,IF(W196&gt;=$S$12,"",IF(R196="","",INDEX($R$18:$R$227,$U$17-ROWS($R$18:$R196)))))</f>
        <v/>
      </c>
      <c r="X197" s="30" t="str">
        <f t="shared" si="28"/>
        <v/>
      </c>
      <c r="Y197" s="30" t="str">
        <f>IF(Y196="","",IF($AO$21="TYP",IF(S196="","",INDEX($S$18:$S$227,$U$17-ROWS($S$18:$S196))),IF($AO$21="INVERT",S197,"")))</f>
        <v/>
      </c>
      <c r="Z197" s="75" t="str">
        <f t="shared" si="33"/>
        <v/>
      </c>
    </row>
    <row r="198" spans="1:26" x14ac:dyDescent="0.2">
      <c r="A198" s="32" t="str">
        <f t="shared" si="23"/>
        <v/>
      </c>
      <c r="C198" s="35" t="str">
        <f>IF(OR(C197=1,C197=""),"",'Imperial Calcs'!B194)</f>
        <v/>
      </c>
      <c r="D198" s="30" t="str">
        <f>IF(C198="","",'Imperial Calcs'!C194)</f>
        <v/>
      </c>
      <c r="E198" s="30" t="str">
        <f>IF(OR(C197=1,C197=""),"",IF('Imperial Data'!$B$2,'Imperial Calcs'!D194,'Imperial Calcs'!E194))</f>
        <v/>
      </c>
      <c r="F198" s="30" t="str">
        <f>IF(OR(C197=1,C197=""),"",IF('Imperial Data'!$B$2,'Imperial Calcs'!E194,'Imperial Calcs'!G194))</f>
        <v/>
      </c>
      <c r="G198" s="30" t="str">
        <f>IF(OR(C197=1,C197=""),"",IF('Imperial Data'!$B$2,'Imperial Calcs'!F194,'Imperial Calcs'!J194))</f>
        <v/>
      </c>
      <c r="H198" s="30" t="str">
        <f>IF(OR(C197=1,C197=""),"",IF('Imperial Data'!$B$2,'Imperial Calcs'!G194,'Imperial Calcs'!M194))</f>
        <v/>
      </c>
      <c r="I198" s="30" t="str">
        <f>IF(C198="","",IF('Imperial Data'!$B$2,'Imperial Calcs'!J194,'Imperial Calcs'!Y194))</f>
        <v/>
      </c>
      <c r="J198" s="30" t="str">
        <f>IF('Imperial Data'!$B$2,'Imperial Calcs'!M194,"")</f>
        <v/>
      </c>
      <c r="K198" s="30" t="str">
        <f>IF('Imperial Data'!$B$2,'Imperial Calcs'!Y194,"")</f>
        <v/>
      </c>
      <c r="L198" s="37" t="str">
        <f>IF('Imperial Data'!$B$2,J198,H198)</f>
        <v/>
      </c>
      <c r="M198" s="112" t="str">
        <f>IF('Imperial Data'!$B$2,K198,I198)</f>
        <v/>
      </c>
      <c r="O198" s="32" t="str">
        <f t="shared" si="29"/>
        <v/>
      </c>
      <c r="Q198" s="112">
        <f t="shared" si="30"/>
        <v>-8.2499999999999822</v>
      </c>
      <c r="R198" s="32" t="str">
        <f t="shared" si="31"/>
        <v/>
      </c>
      <c r="S198" s="32" t="str">
        <f t="shared" si="32"/>
        <v/>
      </c>
      <c r="U198" s="32" t="str">
        <f t="shared" si="27"/>
        <v/>
      </c>
      <c r="W198" s="30" t="str" cm="1">
        <f t="array" ref="W198">IF($AO$21="INVERT",R198,IF(W197&gt;=$S$12,"",IF(R197="","",INDEX($R$18:$R$227,$U$17-ROWS($R$18:$R197)))))</f>
        <v/>
      </c>
      <c r="X198" s="30" t="str">
        <f t="shared" si="28"/>
        <v/>
      </c>
      <c r="Y198" s="30" t="str">
        <f>IF(Y197="","",IF($AO$21="TYP",IF(S197="","",INDEX($S$18:$S$227,$U$17-ROWS($S$18:$S197))),IF($AO$21="INVERT",S198,"")))</f>
        <v/>
      </c>
      <c r="Z198" s="75" t="str">
        <f t="shared" si="33"/>
        <v/>
      </c>
    </row>
    <row r="199" spans="1:26" x14ac:dyDescent="0.2">
      <c r="A199" s="32" t="str">
        <f t="shared" si="23"/>
        <v/>
      </c>
      <c r="C199" s="35" t="str">
        <f>IF(OR(C198=1,C198=""),"",'Imperial Calcs'!B195)</f>
        <v/>
      </c>
      <c r="D199" s="30" t="str">
        <f>IF(C199="","",'Imperial Calcs'!C195)</f>
        <v/>
      </c>
      <c r="E199" s="30" t="str">
        <f>IF(OR(C198=1,C198=""),"",IF('Imperial Data'!$B$2,'Imperial Calcs'!D195,'Imperial Calcs'!E195))</f>
        <v/>
      </c>
      <c r="F199" s="30" t="str">
        <f>IF(OR(C198=1,C198=""),"",IF('Imperial Data'!$B$2,'Imperial Calcs'!E195,'Imperial Calcs'!G195))</f>
        <v/>
      </c>
      <c r="G199" s="30" t="str">
        <f>IF(OR(C198=1,C198=""),"",IF('Imperial Data'!$B$2,'Imperial Calcs'!F195,'Imperial Calcs'!J195))</f>
        <v/>
      </c>
      <c r="H199" s="30" t="str">
        <f>IF(OR(C198=1,C198=""),"",IF('Imperial Data'!$B$2,'Imperial Calcs'!G195,'Imperial Calcs'!M195))</f>
        <v/>
      </c>
      <c r="I199" s="30" t="str">
        <f>IF(C199="","",IF('Imperial Data'!$B$2,'Imperial Calcs'!J195,'Imperial Calcs'!Y195))</f>
        <v/>
      </c>
      <c r="J199" s="30" t="str">
        <f>IF('Imperial Data'!$B$2,'Imperial Calcs'!M195,"")</f>
        <v/>
      </c>
      <c r="K199" s="30" t="str">
        <f>IF('Imperial Data'!$B$2,'Imperial Calcs'!Y195,"")</f>
        <v/>
      </c>
      <c r="L199" s="37" t="str">
        <f>IF('Imperial Data'!$B$2,J199,H199)</f>
        <v/>
      </c>
      <c r="M199" s="112" t="str">
        <f>IF('Imperial Data'!$B$2,K199,I199)</f>
        <v/>
      </c>
      <c r="O199" s="32" t="str">
        <f t="shared" si="29"/>
        <v/>
      </c>
      <c r="Q199" s="112">
        <f t="shared" si="30"/>
        <v>-8.3333333333333162</v>
      </c>
      <c r="R199" s="32" t="str">
        <f t="shared" si="31"/>
        <v/>
      </c>
      <c r="S199" s="32" t="str">
        <f>IF(R199="","",IF(R199=0,L198/$U$11,IF(ISNUMBER(O200),(L199-L200)/(M199-M200),S198)))</f>
        <v/>
      </c>
      <c r="U199" s="32" t="str">
        <f t="shared" si="27"/>
        <v/>
      </c>
      <c r="W199" s="30" t="str" cm="1">
        <f t="array" ref="W199">IF($AO$21="INVERT",R199,IF(W198&gt;=$S$12,"",IF(R198="","",INDEX($R$18:$R$227,$U$17-ROWS($R$18:$R198)))))</f>
        <v/>
      </c>
      <c r="X199" s="30" t="str">
        <f t="shared" si="28"/>
        <v/>
      </c>
      <c r="Y199" s="30" t="str">
        <f>IF(Y198="","",IF($AO$21="TYP",IF(S198="","",INDEX($S$18:$S$227,$U$17-ROWS($S$18:$S198))),IF($AO$21="INVERT",S199,"")))</f>
        <v/>
      </c>
      <c r="Z199" s="75" t="str">
        <f t="shared" si="33"/>
        <v/>
      </c>
    </row>
    <row r="200" spans="1:26" x14ac:dyDescent="0.2">
      <c r="A200" s="32" t="str">
        <f t="shared" si="23"/>
        <v/>
      </c>
      <c r="C200" s="35" t="str">
        <f>IF(OR(C199=1,C199=""),"",'Imperial Calcs'!B196)</f>
        <v/>
      </c>
      <c r="D200" s="30" t="str">
        <f>IF(C200="","",'Imperial Calcs'!C196)</f>
        <v/>
      </c>
      <c r="E200" s="30" t="str">
        <f>IF(OR(C199=1,C199=""),"",IF('Imperial Data'!$B$2,'Imperial Calcs'!D196,'Imperial Calcs'!E196))</f>
        <v/>
      </c>
      <c r="F200" s="30" t="str">
        <f>IF(OR(C199=1,C199=""),"",IF('Imperial Data'!$B$2,'Imperial Calcs'!E196,'Imperial Calcs'!G196))</f>
        <v/>
      </c>
      <c r="G200" s="30" t="str">
        <f>IF(OR(C199=1,C199=""),"",IF('Imperial Data'!$B$2,'Imperial Calcs'!F196,'Imperial Calcs'!J196))</f>
        <v/>
      </c>
      <c r="H200" s="30" t="str">
        <f>IF(OR(C199=1,C199=""),"",IF('Imperial Data'!$B$2,'Imperial Calcs'!G196,'Imperial Calcs'!M196))</f>
        <v/>
      </c>
      <c r="I200" s="30" t="str">
        <f>IF(C200="","",IF('Imperial Data'!$B$2,'Imperial Calcs'!J196,'Imperial Calcs'!Y196))</f>
        <v/>
      </c>
      <c r="J200" s="30" t="str">
        <f>IF('Imperial Data'!$B$2,'Imperial Calcs'!M196,"")</f>
        <v/>
      </c>
      <c r="K200" s="30" t="str">
        <f>IF('Imperial Data'!$B$2,'Imperial Calcs'!Y196,"")</f>
        <v/>
      </c>
      <c r="L200" s="37" t="str">
        <f>IF('Imperial Data'!$B$2,J200,H200)</f>
        <v/>
      </c>
      <c r="M200" s="112" t="str">
        <f>IF('Imperial Data'!$B$2,K200,I200)</f>
        <v/>
      </c>
      <c r="O200" s="32" t="str">
        <f>IF(M201="",IF(M200="","",$F$9),M200)</f>
        <v/>
      </c>
      <c r="Q200" s="112">
        <f>Q199-($U$11)</f>
        <v>-8.4166666666666501</v>
      </c>
      <c r="R200" s="32" t="str">
        <f>IF(AND(C200="",C199=1),0,IF(C200="","",IF(OR(Q200=0,Q200&gt;0),Q200,"")))</f>
        <v/>
      </c>
      <c r="S200" s="32" t="str">
        <f t="shared" si="32"/>
        <v/>
      </c>
      <c r="U200" s="32" t="str">
        <f>IF(R200="","",1)</f>
        <v/>
      </c>
      <c r="W200" s="30" t="str" cm="1">
        <f t="array" ref="W200">IF($AO$21="INVERT",R200,IF(W199&gt;=$S$12,"",IF(R199="","",INDEX($R$18:$R$227,$U$17-ROWS($R$18:$R199)))))</f>
        <v/>
      </c>
      <c r="X200" s="30" t="str">
        <f>IF(W200="","",$M$18-W200)</f>
        <v/>
      </c>
      <c r="Y200" s="30" t="str">
        <f>IF(Y199="","",IF($AO$21="TYP",IF(S199="","",INDEX($S$18:$S$227,$U$17-ROWS($S$18:$S199))),IF($AO$21="INVERT",S200,"")))</f>
        <v/>
      </c>
      <c r="Z200" s="75" t="str">
        <f>IF(Y200="","",Y200/43560)</f>
        <v/>
      </c>
    </row>
    <row r="201" spans="1:26" x14ac:dyDescent="0.2">
      <c r="A201" s="32" t="str">
        <f t="shared" si="23"/>
        <v/>
      </c>
      <c r="C201" s="35" t="str">
        <f>IF(OR(C200=1,C200=""),"",'Imperial Calcs'!B197)</f>
        <v/>
      </c>
      <c r="D201" s="30" t="str">
        <f>IF(C201="","",'Imperial Calcs'!C197)</f>
        <v/>
      </c>
      <c r="E201" s="30" t="str">
        <f>IF(OR(C200=1,C200=""),"",IF('Imperial Data'!$B$2,'Imperial Calcs'!D197,'Imperial Calcs'!E197))</f>
        <v/>
      </c>
      <c r="F201" s="30" t="str">
        <f>IF(OR(C200=1,C200=""),"",IF('Imperial Data'!$B$2,'Imperial Calcs'!E197,'Imperial Calcs'!G197))</f>
        <v/>
      </c>
      <c r="G201" s="30" t="str">
        <f>IF(OR(C200=1,C200=""),"",IF('Imperial Data'!$B$2,'Imperial Calcs'!F197,'Imperial Calcs'!J197))</f>
        <v/>
      </c>
      <c r="H201" s="30" t="str">
        <f>IF(OR(C200=1,C200=""),"",IF('Imperial Data'!$B$2,'Imperial Calcs'!G197,'Imperial Calcs'!M197))</f>
        <v/>
      </c>
      <c r="I201" s="30" t="str">
        <f>IF(C201="","",IF('Imperial Data'!$B$2,'Imperial Calcs'!J197,'Imperial Calcs'!Y197))</f>
        <v/>
      </c>
      <c r="J201" s="30" t="str">
        <f>IF('Imperial Data'!$B$2,'Imperial Calcs'!M197,"")</f>
        <v/>
      </c>
      <c r="K201" s="30" t="str">
        <f>IF('Imperial Data'!$B$2,'Imperial Calcs'!Y197,"")</f>
        <v/>
      </c>
      <c r="L201" s="37" t="str">
        <f>IF('Imperial Data'!$B$2,J201,H201)</f>
        <v/>
      </c>
      <c r="M201" s="112" t="str">
        <f>IF('Imperial Data'!$B$2,K201,I201)</f>
        <v/>
      </c>
      <c r="O201" s="32" t="str">
        <f t="shared" ref="O201:O227" si="34">IF(M202="",IF(M201="","",$F$9),M201)</f>
        <v/>
      </c>
      <c r="Q201" s="112">
        <f t="shared" ref="Q201:Q227" si="35">Q200-($U$11)</f>
        <v>-8.499999999999984</v>
      </c>
      <c r="R201" s="32" t="str">
        <f t="shared" ref="R201:R227" si="36">IF(AND(C201="",C200=1),0,IF(C201="","",IF(OR(Q201=0,Q201&gt;0),Q201,"")))</f>
        <v/>
      </c>
      <c r="S201" s="32" t="str">
        <f t="shared" si="32"/>
        <v/>
      </c>
      <c r="U201" s="32" t="str">
        <f t="shared" ref="U201:U227" si="37">IF(R201="","",1)</f>
        <v/>
      </c>
      <c r="W201" s="30" t="str" cm="1">
        <f t="array" ref="W201">IF($AO$21="INVERT",R201,IF(W200&gt;=$S$12,"",IF(R200="","",INDEX($R$18:$R$227,$U$17-ROWS($R$18:$R200)))))</f>
        <v/>
      </c>
      <c r="X201" s="30" t="str">
        <f t="shared" ref="X201:X227" si="38">IF(W201="","",$M$18-W201)</f>
        <v/>
      </c>
      <c r="Y201" s="30" t="str">
        <f>IF(Y200="","",IF($AO$21="TYP",IF(S200="","",INDEX($S$18:$S$227,$U$17-ROWS($S$18:$S200))),IF($AO$21="INVERT",S201,"")))</f>
        <v/>
      </c>
      <c r="Z201" s="75" t="str">
        <f t="shared" ref="Z201:Z227" si="39">IF(Y201="","",Y201/43560)</f>
        <v/>
      </c>
    </row>
    <row r="202" spans="1:26" x14ac:dyDescent="0.2">
      <c r="A202" s="32" t="str">
        <f t="shared" si="23"/>
        <v/>
      </c>
      <c r="C202" s="35" t="str">
        <f>IF(OR(C201=1,C201=""),"",'Imperial Calcs'!B198)</f>
        <v/>
      </c>
      <c r="D202" s="30" t="str">
        <f>IF(C202="","",'Imperial Calcs'!C198)</f>
        <v/>
      </c>
      <c r="E202" s="30" t="str">
        <f>IF(OR(C201=1,C201=""),"",IF('Imperial Data'!$B$2,'Imperial Calcs'!D198,'Imperial Calcs'!E198))</f>
        <v/>
      </c>
      <c r="F202" s="30" t="str">
        <f>IF(OR(C201=1,C201=""),"",IF('Imperial Data'!$B$2,'Imperial Calcs'!E198,'Imperial Calcs'!G198))</f>
        <v/>
      </c>
      <c r="G202" s="30" t="str">
        <f>IF(OR(C201=1,C201=""),"",IF('Imperial Data'!$B$2,'Imperial Calcs'!F198,'Imperial Calcs'!J198))</f>
        <v/>
      </c>
      <c r="H202" s="30" t="str">
        <f>IF(OR(C201=1,C201=""),"",IF('Imperial Data'!$B$2,'Imperial Calcs'!G198,'Imperial Calcs'!M198))</f>
        <v/>
      </c>
      <c r="I202" s="30" t="str">
        <f>IF(C202="","",IF('Imperial Data'!$B$2,'Imperial Calcs'!J198,'Imperial Calcs'!Y198))</f>
        <v/>
      </c>
      <c r="J202" s="30" t="str">
        <f>IF('Imperial Data'!$B$2,'Imperial Calcs'!M198,"")</f>
        <v/>
      </c>
      <c r="K202" s="30" t="str">
        <f>IF('Imperial Data'!$B$2,'Imperial Calcs'!Y198,"")</f>
        <v/>
      </c>
      <c r="L202" s="37" t="str">
        <f>IF('Imperial Data'!$B$2,J202,H202)</f>
        <v/>
      </c>
      <c r="M202" s="112" t="str">
        <f>IF('Imperial Data'!$B$2,K202,I202)</f>
        <v/>
      </c>
      <c r="O202" s="32" t="str">
        <f t="shared" si="34"/>
        <v/>
      </c>
      <c r="Q202" s="112">
        <f t="shared" si="35"/>
        <v>-8.5833333333333179</v>
      </c>
      <c r="R202" s="32" t="str">
        <f t="shared" si="36"/>
        <v/>
      </c>
      <c r="S202" s="32" t="str">
        <f t="shared" si="32"/>
        <v/>
      </c>
      <c r="U202" s="32" t="str">
        <f t="shared" si="37"/>
        <v/>
      </c>
      <c r="W202" s="30" t="str" cm="1">
        <f t="array" ref="W202">IF($AO$21="INVERT",R202,IF(W201&gt;=$S$12,"",IF(R201="","",INDEX($R$18:$R$227,$U$17-ROWS($R$18:$R201)))))</f>
        <v/>
      </c>
      <c r="X202" s="30" t="str">
        <f t="shared" si="38"/>
        <v/>
      </c>
      <c r="Y202" s="30" t="str">
        <f>IF(Y201="","",IF($AO$21="TYP",IF(S201="","",INDEX($S$18:$S$227,$U$17-ROWS($S$18:$S201))),IF($AO$21="INVERT",S202,"")))</f>
        <v/>
      </c>
      <c r="Z202" s="75" t="str">
        <f t="shared" si="39"/>
        <v/>
      </c>
    </row>
    <row r="203" spans="1:26" x14ac:dyDescent="0.2">
      <c r="A203" s="32" t="str">
        <f t="shared" si="23"/>
        <v/>
      </c>
      <c r="C203" s="35" t="str">
        <f>IF(OR(C202=1,C202=""),"",'Imperial Calcs'!B199)</f>
        <v/>
      </c>
      <c r="D203" s="30" t="str">
        <f>IF(C203="","",'Imperial Calcs'!C199)</f>
        <v/>
      </c>
      <c r="E203" s="30" t="str">
        <f>IF(OR(C202=1,C202=""),"",IF('Imperial Data'!$B$2,'Imperial Calcs'!D199,'Imperial Calcs'!E199))</f>
        <v/>
      </c>
      <c r="F203" s="30" t="str">
        <f>IF(OR(C202=1,C202=""),"",IF('Imperial Data'!$B$2,'Imperial Calcs'!E199,'Imperial Calcs'!G199))</f>
        <v/>
      </c>
      <c r="G203" s="30" t="str">
        <f>IF(OR(C202=1,C202=""),"",IF('Imperial Data'!$B$2,'Imperial Calcs'!F199,'Imperial Calcs'!J199))</f>
        <v/>
      </c>
      <c r="H203" s="30" t="str">
        <f>IF(OR(C202=1,C202=""),"",IF('Imperial Data'!$B$2,'Imperial Calcs'!G199,'Imperial Calcs'!M199))</f>
        <v/>
      </c>
      <c r="I203" s="30" t="str">
        <f>IF(C203="","",IF('Imperial Data'!$B$2,'Imperial Calcs'!J199,'Imperial Calcs'!Y199))</f>
        <v/>
      </c>
      <c r="J203" s="30" t="str">
        <f>IF('Imperial Data'!$B$2,'Imperial Calcs'!M199,"")</f>
        <v/>
      </c>
      <c r="K203" s="30" t="str">
        <f>IF('Imperial Data'!$B$2,'Imperial Calcs'!Y199,"")</f>
        <v/>
      </c>
      <c r="L203" s="37" t="str">
        <f>IF('Imperial Data'!$B$2,J203,H203)</f>
        <v/>
      </c>
      <c r="M203" s="112" t="str">
        <f>IF('Imperial Data'!$B$2,K203,I203)</f>
        <v/>
      </c>
      <c r="O203" s="32" t="str">
        <f t="shared" si="34"/>
        <v/>
      </c>
      <c r="Q203" s="112">
        <f t="shared" si="35"/>
        <v>-8.6666666666666519</v>
      </c>
      <c r="R203" s="32" t="str">
        <f t="shared" si="36"/>
        <v/>
      </c>
      <c r="S203" s="32" t="str">
        <f t="shared" si="32"/>
        <v/>
      </c>
      <c r="U203" s="32" t="str">
        <f t="shared" si="37"/>
        <v/>
      </c>
      <c r="W203" s="30" t="str" cm="1">
        <f t="array" ref="W203">IF($AO$21="INVERT",R203,IF(W202&gt;=$S$12,"",IF(R202="","",INDEX($R$18:$R$227,$U$17-ROWS($R$18:$R202)))))</f>
        <v/>
      </c>
      <c r="X203" s="30" t="str">
        <f t="shared" si="38"/>
        <v/>
      </c>
      <c r="Y203" s="30" t="str">
        <f>IF(Y202="","",IF($AO$21="TYP",IF(S202="","",INDEX($S$18:$S$227,$U$17-ROWS($S$18:$S202))),IF($AO$21="INVERT",S203,"")))</f>
        <v/>
      </c>
      <c r="Z203" s="75" t="str">
        <f t="shared" si="39"/>
        <v/>
      </c>
    </row>
    <row r="204" spans="1:26" x14ac:dyDescent="0.2">
      <c r="A204" s="32" t="str">
        <f t="shared" si="23"/>
        <v/>
      </c>
      <c r="C204" s="35" t="str">
        <f>IF(OR(C203=1,C203=""),"",'Imperial Calcs'!B200)</f>
        <v/>
      </c>
      <c r="D204" s="30" t="str">
        <f>IF(C204="","",'Imperial Calcs'!C200)</f>
        <v/>
      </c>
      <c r="E204" s="30" t="str">
        <f>IF(OR(C203=1,C203=""),"",IF('Imperial Data'!$B$2,'Imperial Calcs'!D200,'Imperial Calcs'!E200))</f>
        <v/>
      </c>
      <c r="F204" s="30" t="str">
        <f>IF(OR(C203=1,C203=""),"",IF('Imperial Data'!$B$2,'Imperial Calcs'!E200,'Imperial Calcs'!G200))</f>
        <v/>
      </c>
      <c r="G204" s="30" t="str">
        <f>IF(OR(C203=1,C203=""),"",IF('Imperial Data'!$B$2,'Imperial Calcs'!F200,'Imperial Calcs'!J200))</f>
        <v/>
      </c>
      <c r="H204" s="30" t="str">
        <f>IF(OR(C203=1,C203=""),"",IF('Imperial Data'!$B$2,'Imperial Calcs'!G200,'Imperial Calcs'!M200))</f>
        <v/>
      </c>
      <c r="I204" s="30" t="str">
        <f>IF(C204="","",IF('Imperial Data'!$B$2,'Imperial Calcs'!J200,'Imperial Calcs'!Y200))</f>
        <v/>
      </c>
      <c r="J204" s="30" t="str">
        <f>IF('Imperial Data'!$B$2,'Imperial Calcs'!M200,"")</f>
        <v/>
      </c>
      <c r="K204" s="30" t="str">
        <f>IF('Imperial Data'!$B$2,'Imperial Calcs'!Y200,"")</f>
        <v/>
      </c>
      <c r="L204" s="37" t="str">
        <f>IF('Imperial Data'!$B$2,J204,H204)</f>
        <v/>
      </c>
      <c r="M204" s="112" t="str">
        <f>IF('Imperial Data'!$B$2,K204,I204)</f>
        <v/>
      </c>
      <c r="O204" s="32" t="str">
        <f t="shared" si="34"/>
        <v/>
      </c>
      <c r="Q204" s="112">
        <f t="shared" si="35"/>
        <v>-8.7499999999999858</v>
      </c>
      <c r="R204" s="32" t="str">
        <f t="shared" si="36"/>
        <v/>
      </c>
      <c r="S204" s="32" t="str">
        <f t="shared" si="32"/>
        <v/>
      </c>
      <c r="U204" s="32" t="str">
        <f t="shared" si="37"/>
        <v/>
      </c>
      <c r="W204" s="30" t="str" cm="1">
        <f t="array" ref="W204">IF($AO$21="INVERT",R204,IF(W203&gt;=$S$12,"",IF(R203="","",INDEX($R$18:$R$227,$U$17-ROWS($R$18:$R203)))))</f>
        <v/>
      </c>
      <c r="X204" s="30" t="str">
        <f t="shared" si="38"/>
        <v/>
      </c>
      <c r="Y204" s="30" t="str">
        <f>IF(Y203="","",IF($AO$21="TYP",IF(S203="","",INDEX($S$18:$S$227,$U$17-ROWS($S$18:$S203))),IF($AO$21="INVERT",S204,"")))</f>
        <v/>
      </c>
      <c r="Z204" s="75" t="str">
        <f t="shared" si="39"/>
        <v/>
      </c>
    </row>
    <row r="205" spans="1:26" x14ac:dyDescent="0.2">
      <c r="A205" s="32" t="str">
        <f t="shared" si="23"/>
        <v/>
      </c>
      <c r="C205" s="35" t="str">
        <f>IF(OR(C204=1,C204=""),"",'Imperial Calcs'!B201)</f>
        <v/>
      </c>
      <c r="D205" s="30" t="str">
        <f>IF(C205="","",'Imperial Calcs'!C201)</f>
        <v/>
      </c>
      <c r="E205" s="30" t="str">
        <f>IF(OR(C204=1,C204=""),"",IF('Imperial Data'!$B$2,'Imperial Calcs'!D201,'Imperial Calcs'!E201))</f>
        <v/>
      </c>
      <c r="F205" s="30" t="str">
        <f>IF(OR(C204=1,C204=""),"",IF('Imperial Data'!$B$2,'Imperial Calcs'!E201,'Imperial Calcs'!G201))</f>
        <v/>
      </c>
      <c r="G205" s="30" t="str">
        <f>IF(OR(C204=1,C204=""),"",IF('Imperial Data'!$B$2,'Imperial Calcs'!F201,'Imperial Calcs'!J201))</f>
        <v/>
      </c>
      <c r="H205" s="30" t="str">
        <f>IF(OR(C204=1,C204=""),"",IF('Imperial Data'!$B$2,'Imperial Calcs'!G201,'Imperial Calcs'!M201))</f>
        <v/>
      </c>
      <c r="I205" s="30" t="str">
        <f>IF(C205="","",IF('Imperial Data'!$B$2,'Imperial Calcs'!J201,'Imperial Calcs'!Y201))</f>
        <v/>
      </c>
      <c r="J205" s="30" t="str">
        <f>IF('Imperial Data'!$B$2,'Imperial Calcs'!M201,"")</f>
        <v/>
      </c>
      <c r="K205" s="30" t="str">
        <f>IF('Imperial Data'!$B$2,'Imperial Calcs'!Y201,"")</f>
        <v/>
      </c>
      <c r="L205" s="37" t="str">
        <f>IF('Imperial Data'!$B$2,J205,H205)</f>
        <v/>
      </c>
      <c r="M205" s="112" t="str">
        <f>IF('Imperial Data'!$B$2,K205,I205)</f>
        <v/>
      </c>
      <c r="O205" s="32" t="str">
        <f t="shared" si="34"/>
        <v/>
      </c>
      <c r="Q205" s="112">
        <f t="shared" si="35"/>
        <v>-8.8333333333333197</v>
      </c>
      <c r="R205" s="32" t="str">
        <f t="shared" si="36"/>
        <v/>
      </c>
      <c r="S205" s="32" t="str">
        <f t="shared" si="32"/>
        <v/>
      </c>
      <c r="U205" s="32" t="str">
        <f t="shared" si="37"/>
        <v/>
      </c>
      <c r="W205" s="30" t="str" cm="1">
        <f t="array" ref="W205">IF($AO$21="INVERT",R205,IF(W204&gt;=$S$12,"",IF(R204="","",INDEX($R$18:$R$227,$U$17-ROWS($R$18:$R204)))))</f>
        <v/>
      </c>
      <c r="X205" s="30" t="str">
        <f t="shared" si="38"/>
        <v/>
      </c>
      <c r="Y205" s="30" t="str">
        <f>IF(Y204="","",IF($AO$21="TYP",IF(S204="","",INDEX($S$18:$S$227,$U$17-ROWS($S$18:$S204))),IF($AO$21="INVERT",S205,"")))</f>
        <v/>
      </c>
      <c r="Z205" s="75" t="str">
        <f t="shared" si="39"/>
        <v/>
      </c>
    </row>
    <row r="206" spans="1:26" x14ac:dyDescent="0.2">
      <c r="A206" s="32" t="str">
        <f t="shared" si="23"/>
        <v/>
      </c>
      <c r="C206" s="35" t="str">
        <f>IF(OR(C205=1,C205=""),"",'Imperial Calcs'!B202)</f>
        <v/>
      </c>
      <c r="D206" s="30" t="str">
        <f>IF(C206="","",'Imperial Calcs'!C202)</f>
        <v/>
      </c>
      <c r="E206" s="30" t="str">
        <f>IF(OR(C205=1,C205=""),"",IF('Imperial Data'!$B$2,'Imperial Calcs'!D202,'Imperial Calcs'!E202))</f>
        <v/>
      </c>
      <c r="F206" s="30" t="str">
        <f>IF(OR(C205=1,C205=""),"",IF('Imperial Data'!$B$2,'Imperial Calcs'!E202,'Imperial Calcs'!G202))</f>
        <v/>
      </c>
      <c r="G206" s="30" t="str">
        <f>IF(OR(C205=1,C205=""),"",IF('Imperial Data'!$B$2,'Imperial Calcs'!F202,'Imperial Calcs'!J202))</f>
        <v/>
      </c>
      <c r="H206" s="30" t="str">
        <f>IF(OR(C205=1,C205=""),"",IF('Imperial Data'!$B$2,'Imperial Calcs'!G202,'Imperial Calcs'!M202))</f>
        <v/>
      </c>
      <c r="I206" s="30" t="str">
        <f>IF(C206="","",IF('Imperial Data'!$B$2,'Imperial Calcs'!J202,'Imperial Calcs'!Y202))</f>
        <v/>
      </c>
      <c r="J206" s="30" t="str">
        <f>IF('Imperial Data'!$B$2,'Imperial Calcs'!M202,"")</f>
        <v/>
      </c>
      <c r="K206" s="30" t="str">
        <f>IF('Imperial Data'!$B$2,'Imperial Calcs'!Y202,"")</f>
        <v/>
      </c>
      <c r="L206" s="37" t="str">
        <f>IF('Imperial Data'!$B$2,J206,H206)</f>
        <v/>
      </c>
      <c r="M206" s="112" t="str">
        <f>IF('Imperial Data'!$B$2,K206,I206)</f>
        <v/>
      </c>
      <c r="O206" s="32" t="str">
        <f t="shared" si="34"/>
        <v/>
      </c>
      <c r="Q206" s="112">
        <f t="shared" si="35"/>
        <v>-8.9166666666666536</v>
      </c>
      <c r="R206" s="32" t="str">
        <f t="shared" si="36"/>
        <v/>
      </c>
      <c r="S206" s="32" t="str">
        <f t="shared" si="32"/>
        <v/>
      </c>
      <c r="U206" s="32" t="str">
        <f t="shared" si="37"/>
        <v/>
      </c>
      <c r="W206" s="30" t="str" cm="1">
        <f t="array" ref="W206">IF($AO$21="INVERT",R206,IF(W205&gt;=$S$12,"",IF(R205="","",INDEX($R$18:$R$227,$U$17-ROWS($R$18:$R205)))))</f>
        <v/>
      </c>
      <c r="X206" s="30" t="str">
        <f t="shared" si="38"/>
        <v/>
      </c>
      <c r="Y206" s="30" t="str">
        <f>IF(Y205="","",IF($AO$21="TYP",IF(S205="","",INDEX($S$18:$S$227,$U$17-ROWS($S$18:$S205))),IF($AO$21="INVERT",S206,"")))</f>
        <v/>
      </c>
      <c r="Z206" s="75" t="str">
        <f t="shared" si="39"/>
        <v/>
      </c>
    </row>
    <row r="207" spans="1:26" x14ac:dyDescent="0.2">
      <c r="A207" s="32" t="str">
        <f t="shared" si="23"/>
        <v/>
      </c>
      <c r="C207" s="35" t="str">
        <f>IF(OR(C206=1,C206=""),"",'Imperial Calcs'!B203)</f>
        <v/>
      </c>
      <c r="D207" s="30" t="str">
        <f>IF(C207="","",'Imperial Calcs'!C203)</f>
        <v/>
      </c>
      <c r="E207" s="30" t="str">
        <f>IF(OR(C206=1,C206=""),"",IF('Imperial Data'!$B$2,'Imperial Calcs'!D203,'Imperial Calcs'!E203))</f>
        <v/>
      </c>
      <c r="F207" s="30" t="str">
        <f>IF(OR(C206=1,C206=""),"",IF('Imperial Data'!$B$2,'Imperial Calcs'!E203,'Imperial Calcs'!G203))</f>
        <v/>
      </c>
      <c r="G207" s="30" t="str">
        <f>IF(OR(C206=1,C206=""),"",IF('Imperial Data'!$B$2,'Imperial Calcs'!F203,'Imperial Calcs'!J203))</f>
        <v/>
      </c>
      <c r="H207" s="30" t="str">
        <f>IF(OR(C206=1,C206=""),"",IF('Imperial Data'!$B$2,'Imperial Calcs'!G203,'Imperial Calcs'!M203))</f>
        <v/>
      </c>
      <c r="I207" s="30" t="str">
        <f>IF(C207="","",IF('Imperial Data'!$B$2,'Imperial Calcs'!J203,'Imperial Calcs'!Y203))</f>
        <v/>
      </c>
      <c r="J207" s="30" t="str">
        <f>IF('Imperial Data'!$B$2,'Imperial Calcs'!M203,"")</f>
        <v/>
      </c>
      <c r="K207" s="30" t="str">
        <f>IF('Imperial Data'!$B$2,'Imperial Calcs'!Y203,"")</f>
        <v/>
      </c>
      <c r="L207" s="37" t="str">
        <f>IF('Imperial Data'!$B$2,J207,H207)</f>
        <v/>
      </c>
      <c r="M207" s="112" t="str">
        <f>IF('Imperial Data'!$B$2,K207,I207)</f>
        <v/>
      </c>
      <c r="O207" s="32" t="str">
        <f t="shared" si="34"/>
        <v/>
      </c>
      <c r="Q207" s="112">
        <f t="shared" si="35"/>
        <v>-8.9999999999999876</v>
      </c>
      <c r="R207" s="32" t="str">
        <f t="shared" si="36"/>
        <v/>
      </c>
      <c r="S207" s="32" t="str">
        <f t="shared" si="32"/>
        <v/>
      </c>
      <c r="U207" s="32" t="str">
        <f t="shared" si="37"/>
        <v/>
      </c>
      <c r="W207" s="30" t="str" cm="1">
        <f t="array" ref="W207">IF($AO$21="INVERT",R207,IF(W206&gt;=$S$12,"",IF(R206="","",INDEX($R$18:$R$227,$U$17-ROWS($R$18:$R206)))))</f>
        <v/>
      </c>
      <c r="X207" s="30" t="str">
        <f t="shared" si="38"/>
        <v/>
      </c>
      <c r="Y207" s="30" t="str">
        <f>IF(Y206="","",IF($AO$21="TYP",IF(S206="","",INDEX($S$18:$S$227,$U$17-ROWS($S$18:$S206))),IF($AO$21="INVERT",S207,"")))</f>
        <v/>
      </c>
      <c r="Z207" s="75" t="str">
        <f t="shared" si="39"/>
        <v/>
      </c>
    </row>
    <row r="208" spans="1:26" x14ac:dyDescent="0.2">
      <c r="A208" s="32" t="str">
        <f t="shared" si="23"/>
        <v/>
      </c>
      <c r="C208" s="35" t="str">
        <f>IF(OR(C207=1,C207=""),"",'Imperial Calcs'!B204)</f>
        <v/>
      </c>
      <c r="D208" s="30" t="str">
        <f>IF(C208="","",'Imperial Calcs'!C204)</f>
        <v/>
      </c>
      <c r="E208" s="30" t="str">
        <f>IF(OR(C207=1,C207=""),"",IF('Imperial Data'!$B$2,'Imperial Calcs'!D204,'Imperial Calcs'!E204))</f>
        <v/>
      </c>
      <c r="F208" s="30" t="str">
        <f>IF(OR(C207=1,C207=""),"",IF('Imperial Data'!$B$2,'Imperial Calcs'!E204,'Imperial Calcs'!G204))</f>
        <v/>
      </c>
      <c r="G208" s="30" t="str">
        <f>IF(OR(C207=1,C207=""),"",IF('Imperial Data'!$B$2,'Imperial Calcs'!F204,'Imperial Calcs'!J204))</f>
        <v/>
      </c>
      <c r="H208" s="30" t="str">
        <f>IF(OR(C207=1,C207=""),"",IF('Imperial Data'!$B$2,'Imperial Calcs'!G204,'Imperial Calcs'!M204))</f>
        <v/>
      </c>
      <c r="I208" s="30" t="str">
        <f>IF(C208="","",IF('Imperial Data'!$B$2,'Imperial Calcs'!J204,'Imperial Calcs'!Y204))</f>
        <v/>
      </c>
      <c r="J208" s="30" t="str">
        <f>IF('Imperial Data'!$B$2,'Imperial Calcs'!M204,"")</f>
        <v/>
      </c>
      <c r="K208" s="30" t="str">
        <f>IF('Imperial Data'!$B$2,'Imperial Calcs'!Y204,"")</f>
        <v/>
      </c>
      <c r="L208" s="37" t="str">
        <f>IF('Imperial Data'!$B$2,J208,H208)</f>
        <v/>
      </c>
      <c r="M208" s="112" t="str">
        <f>IF('Imperial Data'!$B$2,K208,I208)</f>
        <v/>
      </c>
      <c r="O208" s="32" t="str">
        <f t="shared" si="34"/>
        <v/>
      </c>
      <c r="Q208" s="112">
        <f t="shared" si="35"/>
        <v>-9.0833333333333215</v>
      </c>
      <c r="R208" s="32" t="str">
        <f t="shared" si="36"/>
        <v/>
      </c>
      <c r="S208" s="32" t="str">
        <f t="shared" si="32"/>
        <v/>
      </c>
      <c r="U208" s="32" t="str">
        <f t="shared" si="37"/>
        <v/>
      </c>
      <c r="W208" s="30" t="str" cm="1">
        <f t="array" ref="W208">IF($AO$21="INVERT",R208,IF(W207&gt;=$S$12,"",IF(R207="","",INDEX($R$18:$R$227,$U$17-ROWS($R$18:$R207)))))</f>
        <v/>
      </c>
      <c r="X208" s="30" t="str">
        <f t="shared" si="38"/>
        <v/>
      </c>
      <c r="Y208" s="30" t="str">
        <f>IF(Y207="","",IF($AO$21="TYP",IF(S207="","",INDEX($S$18:$S$227,$U$17-ROWS($S$18:$S207))),IF($AO$21="INVERT",S208,"")))</f>
        <v/>
      </c>
      <c r="Z208" s="75" t="str">
        <f t="shared" si="39"/>
        <v/>
      </c>
    </row>
    <row r="209" spans="1:26" x14ac:dyDescent="0.2">
      <c r="A209" s="32" t="str">
        <f t="shared" si="23"/>
        <v/>
      </c>
      <c r="C209" s="35" t="str">
        <f>IF(OR(C208=1,C208=""),"",'Imperial Calcs'!B205)</f>
        <v/>
      </c>
      <c r="D209" s="30" t="str">
        <f>IF(C209="","",'Imperial Calcs'!C205)</f>
        <v/>
      </c>
      <c r="E209" s="30" t="str">
        <f>IF(OR(C208=1,C208=""),"",IF('Imperial Data'!$B$2,'Imperial Calcs'!D205,'Imperial Calcs'!E205))</f>
        <v/>
      </c>
      <c r="F209" s="30" t="str">
        <f>IF(OR(C208=1,C208=""),"",IF('Imperial Data'!$B$2,'Imperial Calcs'!E205,'Imperial Calcs'!G205))</f>
        <v/>
      </c>
      <c r="G209" s="30" t="str">
        <f>IF(OR(C208=1,C208=""),"",IF('Imperial Data'!$B$2,'Imperial Calcs'!F205,'Imperial Calcs'!J205))</f>
        <v/>
      </c>
      <c r="H209" s="30" t="str">
        <f>IF(OR(C208=1,C208=""),"",IF('Imperial Data'!$B$2,'Imperial Calcs'!G205,'Imperial Calcs'!M205))</f>
        <v/>
      </c>
      <c r="I209" s="30" t="str">
        <f>IF(C209="","",IF('Imperial Data'!$B$2,'Imperial Calcs'!J205,'Imperial Calcs'!Y205))</f>
        <v/>
      </c>
      <c r="J209" s="30" t="str">
        <f>IF('Imperial Data'!$B$2,'Imperial Calcs'!M205,"")</f>
        <v/>
      </c>
      <c r="K209" s="30" t="str">
        <f>IF('Imperial Data'!$B$2,'Imperial Calcs'!Y205,"")</f>
        <v/>
      </c>
      <c r="L209" s="37" t="str">
        <f>IF('Imperial Data'!$B$2,J209,H209)</f>
        <v/>
      </c>
      <c r="M209" s="112" t="str">
        <f>IF('Imperial Data'!$B$2,K209,I209)</f>
        <v/>
      </c>
      <c r="O209" s="32" t="str">
        <f t="shared" si="34"/>
        <v/>
      </c>
      <c r="Q209" s="112">
        <f t="shared" si="35"/>
        <v>-9.1666666666666554</v>
      </c>
      <c r="R209" s="32" t="str">
        <f t="shared" si="36"/>
        <v/>
      </c>
      <c r="S209" s="32" t="str">
        <f t="shared" si="32"/>
        <v/>
      </c>
      <c r="U209" s="32" t="str">
        <f t="shared" si="37"/>
        <v/>
      </c>
      <c r="W209" s="30" t="str" cm="1">
        <f t="array" ref="W209">IF($AO$21="INVERT",R209,IF(W208&gt;=$S$12,"",IF(R208="","",INDEX($R$18:$R$227,$U$17-ROWS($R$18:$R208)))))</f>
        <v/>
      </c>
      <c r="X209" s="30" t="str">
        <f t="shared" si="38"/>
        <v/>
      </c>
      <c r="Y209" s="30" t="str">
        <f>IF(Y208="","",IF($AO$21="TYP",IF(S208="","",INDEX($S$18:$S$227,$U$17-ROWS($S$18:$S208))),IF($AO$21="INVERT",S209,"")))</f>
        <v/>
      </c>
      <c r="Z209" s="75" t="str">
        <f t="shared" si="39"/>
        <v/>
      </c>
    </row>
    <row r="210" spans="1:26" x14ac:dyDescent="0.2">
      <c r="A210" s="32" t="str">
        <f t="shared" ref="A210:A273" si="40">IF(C210&lt;&gt;"",A209+1,"")</f>
        <v/>
      </c>
      <c r="C210" s="35" t="str">
        <f>IF(OR(C209=1,C209=""),"",'Imperial Calcs'!B206)</f>
        <v/>
      </c>
      <c r="D210" s="30" t="str">
        <f>IF(C210="","",'Imperial Calcs'!C206)</f>
        <v/>
      </c>
      <c r="E210" s="30" t="str">
        <f>IF(OR(C209=1,C209=""),"",IF('Imperial Data'!$B$2,'Imperial Calcs'!D206,'Imperial Calcs'!E206))</f>
        <v/>
      </c>
      <c r="F210" s="30" t="str">
        <f>IF(OR(C209=1,C209=""),"",IF('Imperial Data'!$B$2,'Imperial Calcs'!E206,'Imperial Calcs'!G206))</f>
        <v/>
      </c>
      <c r="G210" s="30" t="str">
        <f>IF(OR(C209=1,C209=""),"",IF('Imperial Data'!$B$2,'Imperial Calcs'!F206,'Imperial Calcs'!J206))</f>
        <v/>
      </c>
      <c r="H210" s="30" t="str">
        <f>IF(OR(C209=1,C209=""),"",IF('Imperial Data'!$B$2,'Imperial Calcs'!G206,'Imperial Calcs'!M206))</f>
        <v/>
      </c>
      <c r="I210" s="30" t="str">
        <f>IF(C210="","",IF('Imperial Data'!$B$2,'Imperial Calcs'!J206,'Imperial Calcs'!Y206))</f>
        <v/>
      </c>
      <c r="J210" s="30" t="str">
        <f>IF('Imperial Data'!$B$2,'Imperial Calcs'!M206,"")</f>
        <v/>
      </c>
      <c r="K210" s="30" t="str">
        <f>IF('Imperial Data'!$B$2,'Imperial Calcs'!Y206,"")</f>
        <v/>
      </c>
      <c r="L210" s="37" t="str">
        <f>IF('Imperial Data'!$B$2,J210,H210)</f>
        <v/>
      </c>
      <c r="M210" s="112" t="str">
        <f>IF('Imperial Data'!$B$2,K210,I210)</f>
        <v/>
      </c>
      <c r="O210" s="32" t="str">
        <f t="shared" si="34"/>
        <v/>
      </c>
      <c r="Q210" s="112">
        <f t="shared" si="35"/>
        <v>-9.2499999999999893</v>
      </c>
      <c r="R210" s="32" t="str">
        <f t="shared" si="36"/>
        <v/>
      </c>
      <c r="S210" s="32" t="str">
        <f t="shared" si="32"/>
        <v/>
      </c>
      <c r="U210" s="32" t="str">
        <f t="shared" si="37"/>
        <v/>
      </c>
      <c r="W210" s="30" t="str" cm="1">
        <f t="array" ref="W210">IF($AO$21="INVERT",R210,IF(W209&gt;=$S$12,"",IF(R209="","",INDEX($R$18:$R$227,$U$17-ROWS($R$18:$R209)))))</f>
        <v/>
      </c>
      <c r="X210" s="30" t="str">
        <f t="shared" si="38"/>
        <v/>
      </c>
      <c r="Y210" s="30" t="str">
        <f>IF(Y209="","",IF($AO$21="TYP",IF(S209="","",INDEX($S$18:$S$227,$U$17-ROWS($S$18:$S209))),IF($AO$21="INVERT",S210,"")))</f>
        <v/>
      </c>
      <c r="Z210" s="75" t="str">
        <f t="shared" si="39"/>
        <v/>
      </c>
    </row>
    <row r="211" spans="1:26" x14ac:dyDescent="0.2">
      <c r="A211" s="32" t="str">
        <f t="shared" si="40"/>
        <v/>
      </c>
      <c r="C211" s="35" t="str">
        <f>IF(OR(C210=1,C210=""),"",'Imperial Calcs'!B207)</f>
        <v/>
      </c>
      <c r="D211" s="30" t="str">
        <f>IF(C211="","",'Imperial Calcs'!C207)</f>
        <v/>
      </c>
      <c r="E211" s="30" t="str">
        <f>IF(OR(C210=1,C210=""),"",IF('Imperial Data'!$B$2,'Imperial Calcs'!D207,'Imperial Calcs'!E207))</f>
        <v/>
      </c>
      <c r="F211" s="30" t="str">
        <f>IF(OR(C210=1,C210=""),"",IF('Imperial Data'!$B$2,'Imperial Calcs'!E207,'Imperial Calcs'!G207))</f>
        <v/>
      </c>
      <c r="G211" s="30" t="str">
        <f>IF(OR(C210=1,C210=""),"",IF('Imperial Data'!$B$2,'Imperial Calcs'!F207,'Imperial Calcs'!J207))</f>
        <v/>
      </c>
      <c r="H211" s="30" t="str">
        <f>IF(OR(C210=1,C210=""),"",IF('Imperial Data'!$B$2,'Imperial Calcs'!G207,'Imperial Calcs'!M207))</f>
        <v/>
      </c>
      <c r="I211" s="30" t="str">
        <f>IF(C211="","",IF('Imperial Data'!$B$2,'Imperial Calcs'!J207,'Imperial Calcs'!Y207))</f>
        <v/>
      </c>
      <c r="J211" s="30" t="str">
        <f>IF('Imperial Data'!$B$2,'Imperial Calcs'!M207,"")</f>
        <v/>
      </c>
      <c r="K211" s="30" t="str">
        <f>IF('Imperial Data'!$B$2,'Imperial Calcs'!Y207,"")</f>
        <v/>
      </c>
      <c r="L211" s="37" t="str">
        <f>IF('Imperial Data'!$B$2,J211,H211)</f>
        <v/>
      </c>
      <c r="M211" s="112" t="str">
        <f>IF('Imperial Data'!$B$2,K211,I211)</f>
        <v/>
      </c>
      <c r="O211" s="32" t="str">
        <f t="shared" si="34"/>
        <v/>
      </c>
      <c r="Q211" s="112">
        <f t="shared" si="35"/>
        <v>-9.3333333333333233</v>
      </c>
      <c r="R211" s="32" t="str">
        <f t="shared" si="36"/>
        <v/>
      </c>
      <c r="S211" s="32" t="str">
        <f t="shared" si="32"/>
        <v/>
      </c>
      <c r="U211" s="32" t="str">
        <f t="shared" si="37"/>
        <v/>
      </c>
      <c r="W211" s="30" t="str" cm="1">
        <f t="array" ref="W211">IF($AO$21="INVERT",R211,IF(W210&gt;=$S$12,"",IF(R210="","",INDEX($R$18:$R$227,$U$17-ROWS($R$18:$R210)))))</f>
        <v/>
      </c>
      <c r="X211" s="30" t="str">
        <f t="shared" si="38"/>
        <v/>
      </c>
      <c r="Y211" s="30" t="str">
        <f>IF(Y210="","",IF($AO$21="TYP",IF(S210="","",INDEX($S$18:$S$227,$U$17-ROWS($S$18:$S210))),IF($AO$21="INVERT",S211,"")))</f>
        <v/>
      </c>
      <c r="Z211" s="75" t="str">
        <f t="shared" si="39"/>
        <v/>
      </c>
    </row>
    <row r="212" spans="1:26" x14ac:dyDescent="0.2">
      <c r="A212" s="32" t="str">
        <f t="shared" si="40"/>
        <v/>
      </c>
      <c r="C212" s="35" t="str">
        <f>IF(OR(C211=1,C211=""),"",'Imperial Calcs'!B208)</f>
        <v/>
      </c>
      <c r="D212" s="30" t="str">
        <f>IF(C212="","",'Imperial Calcs'!C208)</f>
        <v/>
      </c>
      <c r="E212" s="30" t="str">
        <f>IF(OR(C211=1,C211=""),"",IF('Imperial Data'!$B$2,'Imperial Calcs'!D208,'Imperial Calcs'!E208))</f>
        <v/>
      </c>
      <c r="F212" s="30" t="str">
        <f>IF(OR(C211=1,C211=""),"",IF('Imperial Data'!$B$2,'Imperial Calcs'!E208,'Imperial Calcs'!G208))</f>
        <v/>
      </c>
      <c r="G212" s="30" t="str">
        <f>IF(OR(C211=1,C211=""),"",IF('Imperial Data'!$B$2,'Imperial Calcs'!F208,'Imperial Calcs'!J208))</f>
        <v/>
      </c>
      <c r="H212" s="30" t="str">
        <f>IF(OR(C211=1,C211=""),"",IF('Imperial Data'!$B$2,'Imperial Calcs'!G208,'Imperial Calcs'!M208))</f>
        <v/>
      </c>
      <c r="I212" s="30" t="str">
        <f>IF(C212="","",IF('Imperial Data'!$B$2,'Imperial Calcs'!J208,'Imperial Calcs'!Y208))</f>
        <v/>
      </c>
      <c r="J212" s="30" t="str">
        <f>IF('Imperial Data'!$B$2,'Imperial Calcs'!M208,"")</f>
        <v/>
      </c>
      <c r="K212" s="30" t="str">
        <f>IF('Imperial Data'!$B$2,'Imperial Calcs'!Y208,"")</f>
        <v/>
      </c>
      <c r="L212" s="37" t="str">
        <f>IF('Imperial Data'!$B$2,J212,H212)</f>
        <v/>
      </c>
      <c r="M212" s="112" t="str">
        <f>IF('Imperial Data'!$B$2,K212,I212)</f>
        <v/>
      </c>
      <c r="O212" s="32" t="str">
        <f t="shared" si="34"/>
        <v/>
      </c>
      <c r="Q212" s="112">
        <f t="shared" si="35"/>
        <v>-9.4166666666666572</v>
      </c>
      <c r="R212" s="32" t="str">
        <f t="shared" si="36"/>
        <v/>
      </c>
      <c r="S212" s="32" t="str">
        <f t="shared" si="32"/>
        <v/>
      </c>
      <c r="U212" s="32" t="str">
        <f t="shared" si="37"/>
        <v/>
      </c>
      <c r="W212" s="30" t="str" cm="1">
        <f t="array" ref="W212">IF($AO$21="INVERT",R212,IF(W211&gt;=$S$12,"",IF(R211="","",INDEX($R$18:$R$227,$U$17-ROWS($R$18:$R211)))))</f>
        <v/>
      </c>
      <c r="X212" s="30" t="str">
        <f t="shared" si="38"/>
        <v/>
      </c>
      <c r="Y212" s="30" t="str">
        <f>IF(Y211="","",IF($AO$21="TYP",IF(S211="","",INDEX($S$18:$S$227,$U$17-ROWS($S$18:$S211))),IF($AO$21="INVERT",S212,"")))</f>
        <v/>
      </c>
      <c r="Z212" s="75" t="str">
        <f t="shared" si="39"/>
        <v/>
      </c>
    </row>
    <row r="213" spans="1:26" x14ac:dyDescent="0.2">
      <c r="A213" s="32" t="str">
        <f t="shared" si="40"/>
        <v/>
      </c>
      <c r="C213" s="35" t="str">
        <f>IF(OR(C212=1,C212=""),"",'Imperial Calcs'!B209)</f>
        <v/>
      </c>
      <c r="D213" s="30" t="str">
        <f>IF(C213="","",'Imperial Calcs'!C209)</f>
        <v/>
      </c>
      <c r="E213" s="30" t="str">
        <f>IF(OR(C212=1,C212=""),"",IF('Imperial Data'!$B$2,'Imperial Calcs'!D209,'Imperial Calcs'!E209))</f>
        <v/>
      </c>
      <c r="F213" s="30" t="str">
        <f>IF(OR(C212=1,C212=""),"",IF('Imperial Data'!$B$2,'Imperial Calcs'!E209,'Imperial Calcs'!G209))</f>
        <v/>
      </c>
      <c r="G213" s="30" t="str">
        <f>IF(OR(C212=1,C212=""),"",IF('Imperial Data'!$B$2,'Imperial Calcs'!F209,'Imperial Calcs'!J209))</f>
        <v/>
      </c>
      <c r="H213" s="30" t="str">
        <f>IF(OR(C212=1,C212=""),"",IF('Imperial Data'!$B$2,'Imperial Calcs'!G209,'Imperial Calcs'!M209))</f>
        <v/>
      </c>
      <c r="I213" s="30" t="str">
        <f>IF(C213="","",IF('Imperial Data'!$B$2,'Imperial Calcs'!J209,'Imperial Calcs'!Y209))</f>
        <v/>
      </c>
      <c r="J213" s="30" t="str">
        <f>IF('Imperial Data'!$B$2,'Imperial Calcs'!M209,"")</f>
        <v/>
      </c>
      <c r="K213" s="30" t="str">
        <f>IF('Imperial Data'!$B$2,'Imperial Calcs'!Y209,"")</f>
        <v/>
      </c>
      <c r="L213" s="37" t="str">
        <f>IF('Imperial Data'!$B$2,J213,H213)</f>
        <v/>
      </c>
      <c r="M213" s="112" t="str">
        <f>IF('Imperial Data'!$B$2,K213,I213)</f>
        <v/>
      </c>
      <c r="O213" s="32" t="str">
        <f t="shared" si="34"/>
        <v/>
      </c>
      <c r="Q213" s="112">
        <f t="shared" si="35"/>
        <v>-9.4999999999999911</v>
      </c>
      <c r="R213" s="32" t="str">
        <f t="shared" si="36"/>
        <v/>
      </c>
      <c r="S213" s="32" t="str">
        <f t="shared" si="32"/>
        <v/>
      </c>
      <c r="U213" s="32" t="str">
        <f t="shared" si="37"/>
        <v/>
      </c>
      <c r="W213" s="30" t="str" cm="1">
        <f t="array" ref="W213">IF($AO$21="INVERT",R213,IF(W212&gt;=$S$12,"",IF(R212="","",INDEX($R$18:$R$227,$U$17-ROWS($R$18:$R212)))))</f>
        <v/>
      </c>
      <c r="X213" s="30" t="str">
        <f t="shared" si="38"/>
        <v/>
      </c>
      <c r="Y213" s="30" t="str">
        <f>IF(Y212="","",IF($AO$21="TYP",IF(S212="","",INDEX($S$18:$S$227,$U$17-ROWS($S$18:$S212))),IF($AO$21="INVERT",S213,"")))</f>
        <v/>
      </c>
      <c r="Z213" s="75" t="str">
        <f t="shared" si="39"/>
        <v/>
      </c>
    </row>
    <row r="214" spans="1:26" x14ac:dyDescent="0.2">
      <c r="A214" s="32" t="str">
        <f t="shared" si="40"/>
        <v/>
      </c>
      <c r="C214" s="35" t="str">
        <f>IF(OR(C213=1,C213=""),"",'Imperial Calcs'!B210)</f>
        <v/>
      </c>
      <c r="D214" s="30" t="str">
        <f>IF(C214="","",'Imperial Calcs'!C210)</f>
        <v/>
      </c>
      <c r="E214" s="30" t="str">
        <f>IF(OR(C213=1,C213=""),"",IF('Imperial Data'!$B$2,'Imperial Calcs'!D210,'Imperial Calcs'!E210))</f>
        <v/>
      </c>
      <c r="F214" s="30" t="str">
        <f>IF(OR(C213=1,C213=""),"",IF('Imperial Data'!$B$2,'Imperial Calcs'!E210,'Imperial Calcs'!G210))</f>
        <v/>
      </c>
      <c r="G214" s="30" t="str">
        <f>IF(OR(C213=1,C213=""),"",IF('Imperial Data'!$B$2,'Imperial Calcs'!F210,'Imperial Calcs'!J210))</f>
        <v/>
      </c>
      <c r="H214" s="30" t="str">
        <f>IF(OR(C213=1,C213=""),"",IF('Imperial Data'!$B$2,'Imperial Calcs'!G210,'Imperial Calcs'!M210))</f>
        <v/>
      </c>
      <c r="I214" s="30" t="str">
        <f>IF(C214="","",IF('Imperial Data'!$B$2,'Imperial Calcs'!J210,'Imperial Calcs'!Y210))</f>
        <v/>
      </c>
      <c r="J214" s="30" t="str">
        <f>IF('Imperial Data'!$B$2,'Imperial Calcs'!M210,"")</f>
        <v/>
      </c>
      <c r="K214" s="30" t="str">
        <f>IF('Imperial Data'!$B$2,'Imperial Calcs'!Y210,"")</f>
        <v/>
      </c>
      <c r="L214" s="37" t="str">
        <f>IF('Imperial Data'!$B$2,J214,H214)</f>
        <v/>
      </c>
      <c r="M214" s="112" t="str">
        <f>IF('Imperial Data'!$B$2,K214,I214)</f>
        <v/>
      </c>
      <c r="O214" s="32" t="str">
        <f t="shared" si="34"/>
        <v/>
      </c>
      <c r="Q214" s="112">
        <f t="shared" si="35"/>
        <v>-9.583333333333325</v>
      </c>
      <c r="R214" s="32" t="str">
        <f t="shared" si="36"/>
        <v/>
      </c>
      <c r="S214" s="32" t="str">
        <f t="shared" si="32"/>
        <v/>
      </c>
      <c r="U214" s="32" t="str">
        <f t="shared" si="37"/>
        <v/>
      </c>
      <c r="W214" s="30" t="str" cm="1">
        <f t="array" ref="W214">IF($AO$21="INVERT",R214,IF(W213&gt;=$S$12,"",IF(R213="","",INDEX($R$18:$R$227,$U$17-ROWS($R$18:$R213)))))</f>
        <v/>
      </c>
      <c r="X214" s="30" t="str">
        <f t="shared" si="38"/>
        <v/>
      </c>
      <c r="Y214" s="30" t="str">
        <f>IF(Y213="","",IF($AO$21="TYP",IF(S213="","",INDEX($S$18:$S$227,$U$17-ROWS($S$18:$S213))),IF($AO$21="INVERT",S214,"")))</f>
        <v/>
      </c>
      <c r="Z214" s="75" t="str">
        <f t="shared" si="39"/>
        <v/>
      </c>
    </row>
    <row r="215" spans="1:26" x14ac:dyDescent="0.2">
      <c r="A215" s="32" t="str">
        <f t="shared" si="40"/>
        <v/>
      </c>
      <c r="C215" s="35" t="str">
        <f>IF(OR(C214=1,C214=""),"",'Imperial Calcs'!B211)</f>
        <v/>
      </c>
      <c r="D215" s="30" t="str">
        <f>IF(C215="","",'Imperial Calcs'!C211)</f>
        <v/>
      </c>
      <c r="E215" s="30" t="str">
        <f>IF(OR(C214=1,C214=""),"",IF('Imperial Data'!$B$2,'Imperial Calcs'!D211,'Imperial Calcs'!E211))</f>
        <v/>
      </c>
      <c r="F215" s="30" t="str">
        <f>IF(OR(C214=1,C214=""),"",IF('Imperial Data'!$B$2,'Imperial Calcs'!E211,'Imperial Calcs'!G211))</f>
        <v/>
      </c>
      <c r="G215" s="30" t="str">
        <f>IF(OR(C214=1,C214=""),"",IF('Imperial Data'!$B$2,'Imperial Calcs'!F211,'Imperial Calcs'!J211))</f>
        <v/>
      </c>
      <c r="H215" s="30" t="str">
        <f>IF(OR(C214=1,C214=""),"",IF('Imperial Data'!$B$2,'Imperial Calcs'!G211,'Imperial Calcs'!M211))</f>
        <v/>
      </c>
      <c r="I215" s="30" t="str">
        <f>IF(C215="","",IF('Imperial Data'!$B$2,'Imperial Calcs'!J211,'Imperial Calcs'!Y211))</f>
        <v/>
      </c>
      <c r="J215" s="30" t="str">
        <f>IF('Imperial Data'!$B$2,'Imperial Calcs'!M211,"")</f>
        <v/>
      </c>
      <c r="K215" s="30" t="str">
        <f>IF('Imperial Data'!$B$2,'Imperial Calcs'!Y211,"")</f>
        <v/>
      </c>
      <c r="L215" s="37" t="str">
        <f>IF('Imperial Data'!$B$2,J215,H215)</f>
        <v/>
      </c>
      <c r="M215" s="112" t="str">
        <f>IF('Imperial Data'!$B$2,K215,I215)</f>
        <v/>
      </c>
      <c r="O215" s="32" t="str">
        <f t="shared" si="34"/>
        <v/>
      </c>
      <c r="Q215" s="112">
        <f t="shared" si="35"/>
        <v>-9.666666666666659</v>
      </c>
      <c r="R215" s="32" t="str">
        <f t="shared" si="36"/>
        <v/>
      </c>
      <c r="S215" s="32" t="str">
        <f t="shared" si="32"/>
        <v/>
      </c>
      <c r="U215" s="32" t="str">
        <f t="shared" si="37"/>
        <v/>
      </c>
      <c r="W215" s="30" t="str" cm="1">
        <f t="array" ref="W215">IF($AO$21="INVERT",R215,IF(W214&gt;=$S$12,"",IF(R214="","",INDEX($R$18:$R$227,$U$17-ROWS($R$18:$R214)))))</f>
        <v/>
      </c>
      <c r="X215" s="30" t="str">
        <f t="shared" si="38"/>
        <v/>
      </c>
      <c r="Y215" s="30" t="str">
        <f>IF(Y214="","",IF($AO$21="TYP",IF(S214="","",INDEX($S$18:$S$227,$U$17-ROWS($S$18:$S214))),IF($AO$21="INVERT",S215,"")))</f>
        <v/>
      </c>
      <c r="Z215" s="75" t="str">
        <f t="shared" si="39"/>
        <v/>
      </c>
    </row>
    <row r="216" spans="1:26" x14ac:dyDescent="0.2">
      <c r="A216" s="32" t="str">
        <f t="shared" si="40"/>
        <v/>
      </c>
      <c r="C216" s="35" t="str">
        <f>IF(OR(C215=1,C215=""),"",'Imperial Calcs'!B212)</f>
        <v/>
      </c>
      <c r="D216" s="30" t="str">
        <f>IF(C216="","",'Imperial Calcs'!C212)</f>
        <v/>
      </c>
      <c r="E216" s="30" t="str">
        <f>IF(OR(C215=1,C215=""),"",IF('Imperial Data'!$B$2,'Imperial Calcs'!D212,'Imperial Calcs'!E212))</f>
        <v/>
      </c>
      <c r="F216" s="30" t="str">
        <f>IF(OR(C215=1,C215=""),"",IF('Imperial Data'!$B$2,'Imperial Calcs'!E212,'Imperial Calcs'!G212))</f>
        <v/>
      </c>
      <c r="G216" s="30" t="str">
        <f>IF(OR(C215=1,C215=""),"",IF('Imperial Data'!$B$2,'Imperial Calcs'!F212,'Imperial Calcs'!J212))</f>
        <v/>
      </c>
      <c r="H216" s="30" t="str">
        <f>IF(OR(C215=1,C215=""),"",IF('Imperial Data'!$B$2,'Imperial Calcs'!G212,'Imperial Calcs'!M212))</f>
        <v/>
      </c>
      <c r="I216" s="30" t="str">
        <f>IF(C216="","",IF('Imperial Data'!$B$2,'Imperial Calcs'!J212,'Imperial Calcs'!Y212))</f>
        <v/>
      </c>
      <c r="J216" s="30" t="str">
        <f>IF('Imperial Data'!$B$2,'Imperial Calcs'!M212,"")</f>
        <v/>
      </c>
      <c r="K216" s="30" t="str">
        <f>IF('Imperial Data'!$B$2,'Imperial Calcs'!Y212,"")</f>
        <v/>
      </c>
      <c r="L216" s="37" t="str">
        <f>IF('Imperial Data'!$B$2,J216,H216)</f>
        <v/>
      </c>
      <c r="M216" s="112" t="str">
        <f>IF('Imperial Data'!$B$2,K216,I216)</f>
        <v/>
      </c>
      <c r="O216" s="32" t="str">
        <f t="shared" si="34"/>
        <v/>
      </c>
      <c r="Q216" s="112">
        <f t="shared" si="35"/>
        <v>-9.7499999999999929</v>
      </c>
      <c r="R216" s="32" t="str">
        <f t="shared" si="36"/>
        <v/>
      </c>
      <c r="S216" s="32" t="str">
        <f t="shared" si="32"/>
        <v/>
      </c>
      <c r="U216" s="32" t="str">
        <f t="shared" si="37"/>
        <v/>
      </c>
      <c r="W216" s="30" t="str" cm="1">
        <f t="array" ref="W216">IF($AO$21="INVERT",R216,IF(W215&gt;=$S$12,"",IF(R215="","",INDEX($R$18:$R$227,$U$17-ROWS($R$18:$R215)))))</f>
        <v/>
      </c>
      <c r="X216" s="30" t="str">
        <f t="shared" si="38"/>
        <v/>
      </c>
      <c r="Y216" s="30" t="str">
        <f>IF(Y215="","",IF($AO$21="TYP",IF(S215="","",INDEX($S$18:$S$227,$U$17-ROWS($S$18:$S215))),IF($AO$21="INVERT",S216,"")))</f>
        <v/>
      </c>
      <c r="Z216" s="75" t="str">
        <f t="shared" si="39"/>
        <v/>
      </c>
    </row>
    <row r="217" spans="1:26" x14ac:dyDescent="0.2">
      <c r="A217" s="32" t="str">
        <f t="shared" si="40"/>
        <v/>
      </c>
      <c r="C217" s="35" t="str">
        <f>IF(OR(C216=1,C216=""),"",'Imperial Calcs'!B213)</f>
        <v/>
      </c>
      <c r="D217" s="30" t="str">
        <f>IF(C217="","",'Imperial Calcs'!C213)</f>
        <v/>
      </c>
      <c r="E217" s="30" t="str">
        <f>IF(OR(C216=1,C216=""),"",IF('Imperial Data'!$B$2,'Imperial Calcs'!D213,'Imperial Calcs'!E213))</f>
        <v/>
      </c>
      <c r="F217" s="30" t="str">
        <f>IF(OR(C216=1,C216=""),"",IF('Imperial Data'!$B$2,'Imperial Calcs'!E213,'Imperial Calcs'!G213))</f>
        <v/>
      </c>
      <c r="G217" s="30" t="str">
        <f>IF(OR(C216=1,C216=""),"",IF('Imperial Data'!$B$2,'Imperial Calcs'!F213,'Imperial Calcs'!J213))</f>
        <v/>
      </c>
      <c r="H217" s="30" t="str">
        <f>IF(OR(C216=1,C216=""),"",IF('Imperial Data'!$B$2,'Imperial Calcs'!G213,'Imperial Calcs'!M213))</f>
        <v/>
      </c>
      <c r="I217" s="30" t="str">
        <f>IF(C217="","",IF('Imperial Data'!$B$2,'Imperial Calcs'!J213,'Imperial Calcs'!Y213))</f>
        <v/>
      </c>
      <c r="J217" s="30" t="str">
        <f>IF('Imperial Data'!$B$2,'Imperial Calcs'!M213,"")</f>
        <v/>
      </c>
      <c r="K217" s="30" t="str">
        <f>IF('Imperial Data'!$B$2,'Imperial Calcs'!Y213,"")</f>
        <v/>
      </c>
      <c r="L217" s="37" t="str">
        <f>IF('Imperial Data'!$B$2,J217,H217)</f>
        <v/>
      </c>
      <c r="M217" s="112" t="str">
        <f>IF('Imperial Data'!$B$2,K217,I217)</f>
        <v/>
      </c>
      <c r="O217" s="32" t="str">
        <f t="shared" si="34"/>
        <v/>
      </c>
      <c r="Q217" s="112">
        <f t="shared" si="35"/>
        <v>-9.8333333333333268</v>
      </c>
      <c r="R217" s="32" t="str">
        <f t="shared" si="36"/>
        <v/>
      </c>
      <c r="S217" s="32" t="str">
        <f t="shared" si="32"/>
        <v/>
      </c>
      <c r="U217" s="32" t="str">
        <f t="shared" si="37"/>
        <v/>
      </c>
      <c r="W217" s="30" t="str" cm="1">
        <f t="array" ref="W217">IF($AO$21="INVERT",R217,IF(W216&gt;=$S$12,"",IF(R216="","",INDEX($R$18:$R$227,$U$17-ROWS($R$18:$R216)))))</f>
        <v/>
      </c>
      <c r="X217" s="30" t="str">
        <f t="shared" si="38"/>
        <v/>
      </c>
      <c r="Y217" s="30" t="str">
        <f>IF(Y216="","",IF($AO$21="TYP",IF(S216="","",INDEX($S$18:$S$227,$U$17-ROWS($S$18:$S216))),IF($AO$21="INVERT",S217,"")))</f>
        <v/>
      </c>
      <c r="Z217" s="75" t="str">
        <f t="shared" si="39"/>
        <v/>
      </c>
    </row>
    <row r="218" spans="1:26" x14ac:dyDescent="0.2">
      <c r="A218" s="32" t="str">
        <f t="shared" si="40"/>
        <v/>
      </c>
      <c r="C218" s="35" t="str">
        <f>IF(OR(C217=1,C217=""),"",'Imperial Calcs'!B214)</f>
        <v/>
      </c>
      <c r="D218" s="30" t="str">
        <f>IF(C218="","",'Imperial Calcs'!C214)</f>
        <v/>
      </c>
      <c r="E218" s="30" t="str">
        <f>IF(OR(C217=1,C217=""),"",IF('Imperial Data'!$B$2,'Imperial Calcs'!D214,'Imperial Calcs'!E214))</f>
        <v/>
      </c>
      <c r="F218" s="30" t="str">
        <f>IF(OR(C217=1,C217=""),"",IF('Imperial Data'!$B$2,'Imperial Calcs'!E214,'Imperial Calcs'!G214))</f>
        <v/>
      </c>
      <c r="G218" s="30" t="str">
        <f>IF(OR(C217=1,C217=""),"",IF('Imperial Data'!$B$2,'Imperial Calcs'!F214,'Imperial Calcs'!J214))</f>
        <v/>
      </c>
      <c r="H218" s="30" t="str">
        <f>IF(OR(C217=1,C217=""),"",IF('Imperial Data'!$B$2,'Imperial Calcs'!G214,'Imperial Calcs'!M214))</f>
        <v/>
      </c>
      <c r="I218" s="30" t="str">
        <f>IF(C218="","",IF('Imperial Data'!$B$2,'Imperial Calcs'!J214,'Imperial Calcs'!Y214))</f>
        <v/>
      </c>
      <c r="J218" s="30" t="str">
        <f>IF('Imperial Data'!$B$2,'Imperial Calcs'!M214,"")</f>
        <v/>
      </c>
      <c r="K218" s="30" t="str">
        <f>IF('Imperial Data'!$B$2,'Imperial Calcs'!Y214,"")</f>
        <v/>
      </c>
      <c r="L218" s="37" t="str">
        <f>IF('Imperial Data'!$B$2,J218,H218)</f>
        <v/>
      </c>
      <c r="M218" s="112" t="str">
        <f>IF('Imperial Data'!$B$2,K218,I218)</f>
        <v/>
      </c>
      <c r="O218" s="32" t="str">
        <f t="shared" si="34"/>
        <v/>
      </c>
      <c r="Q218" s="112">
        <f t="shared" si="35"/>
        <v>-9.9166666666666607</v>
      </c>
      <c r="R218" s="32" t="str">
        <f t="shared" si="36"/>
        <v/>
      </c>
      <c r="S218" s="32" t="str">
        <f t="shared" si="32"/>
        <v/>
      </c>
      <c r="U218" s="32" t="str">
        <f t="shared" si="37"/>
        <v/>
      </c>
      <c r="W218" s="30" t="str" cm="1">
        <f t="array" ref="W218">IF($AO$21="INVERT",R218,IF(W217&gt;=$S$12,"",IF(R217="","",INDEX($R$18:$R$227,$U$17-ROWS($R$18:$R217)))))</f>
        <v/>
      </c>
      <c r="X218" s="30" t="str">
        <f t="shared" si="38"/>
        <v/>
      </c>
      <c r="Y218" s="30" t="str">
        <f>IF(Y217="","",IF($AO$21="TYP",IF(S217="","",INDEX($S$18:$S$227,$U$17-ROWS($S$18:$S217))),IF($AO$21="INVERT",S218,"")))</f>
        <v/>
      </c>
      <c r="Z218" s="75" t="str">
        <f t="shared" si="39"/>
        <v/>
      </c>
    </row>
    <row r="219" spans="1:26" x14ac:dyDescent="0.2">
      <c r="A219" s="32" t="str">
        <f t="shared" si="40"/>
        <v/>
      </c>
      <c r="C219" s="35" t="str">
        <f>IF(OR(C218=1,C218=""),"",'Imperial Calcs'!B215)</f>
        <v/>
      </c>
      <c r="D219" s="30" t="str">
        <f>IF(C219="","",'Imperial Calcs'!C215)</f>
        <v/>
      </c>
      <c r="E219" s="30" t="str">
        <f>IF(OR(C218=1,C218=""),"",IF('Imperial Data'!$B$2,'Imperial Calcs'!D215,'Imperial Calcs'!E215))</f>
        <v/>
      </c>
      <c r="F219" s="30" t="str">
        <f>IF(OR(C218=1,C218=""),"",IF('Imperial Data'!$B$2,'Imperial Calcs'!E215,'Imperial Calcs'!G215))</f>
        <v/>
      </c>
      <c r="G219" s="30" t="str">
        <f>IF(OR(C218=1,C218=""),"",IF('Imperial Data'!$B$2,'Imperial Calcs'!F215,'Imperial Calcs'!J215))</f>
        <v/>
      </c>
      <c r="H219" s="30" t="str">
        <f>IF(OR(C218=1,C218=""),"",IF('Imperial Data'!$B$2,'Imperial Calcs'!G215,'Imperial Calcs'!M215))</f>
        <v/>
      </c>
      <c r="I219" s="30" t="str">
        <f>IF(C219="","",IF('Imperial Data'!$B$2,'Imperial Calcs'!J215,'Imperial Calcs'!Y215))</f>
        <v/>
      </c>
      <c r="J219" s="30" t="str">
        <f>IF('Imperial Data'!$B$2,'Imperial Calcs'!M215,"")</f>
        <v/>
      </c>
      <c r="K219" s="30" t="str">
        <f>IF('Imperial Data'!$B$2,'Imperial Calcs'!Y215,"")</f>
        <v/>
      </c>
      <c r="L219" s="37" t="str">
        <f>IF('Imperial Data'!$B$2,J219,H219)</f>
        <v/>
      </c>
      <c r="M219" s="112" t="str">
        <f>IF('Imperial Data'!$B$2,K219,I219)</f>
        <v/>
      </c>
      <c r="O219" s="32" t="str">
        <f t="shared" si="34"/>
        <v/>
      </c>
      <c r="Q219" s="112">
        <f t="shared" si="35"/>
        <v>-9.9999999999999947</v>
      </c>
      <c r="R219" s="32" t="str">
        <f t="shared" si="36"/>
        <v/>
      </c>
      <c r="S219" s="32" t="str">
        <f t="shared" si="32"/>
        <v/>
      </c>
      <c r="U219" s="32" t="str">
        <f t="shared" si="37"/>
        <v/>
      </c>
      <c r="W219" s="30" t="str" cm="1">
        <f t="array" ref="W219">IF($AO$21="INVERT",R219,IF(W218&gt;=$S$12,"",IF(R218="","",INDEX($R$18:$R$227,$U$17-ROWS($R$18:$R218)))))</f>
        <v/>
      </c>
      <c r="X219" s="30" t="str">
        <f t="shared" si="38"/>
        <v/>
      </c>
      <c r="Y219" s="30" t="str">
        <f>IF(Y218="","",IF($AO$21="TYP",IF(S218="","",INDEX($S$18:$S$227,$U$17-ROWS($S$18:$S218))),IF($AO$21="INVERT",S219,"")))</f>
        <v/>
      </c>
      <c r="Z219" s="75" t="str">
        <f t="shared" si="39"/>
        <v/>
      </c>
    </row>
    <row r="220" spans="1:26" x14ac:dyDescent="0.2">
      <c r="A220" s="32" t="str">
        <f t="shared" si="40"/>
        <v/>
      </c>
      <c r="C220" s="35" t="str">
        <f>IF(OR(C219=1,C219=""),"",'Imperial Calcs'!B216)</f>
        <v/>
      </c>
      <c r="D220" s="30" t="str">
        <f>IF(C220="","",'Imperial Calcs'!C216)</f>
        <v/>
      </c>
      <c r="E220" s="30" t="str">
        <f>IF(OR(C219=1,C219=""),"",IF('Imperial Data'!$B$2,'Imperial Calcs'!D216,'Imperial Calcs'!E216))</f>
        <v/>
      </c>
      <c r="F220" s="30" t="str">
        <f>IF(OR(C219=1,C219=""),"",IF('Imperial Data'!$B$2,'Imperial Calcs'!E216,'Imperial Calcs'!G216))</f>
        <v/>
      </c>
      <c r="G220" s="30" t="str">
        <f>IF(OR(C219=1,C219=""),"",IF('Imperial Data'!$B$2,'Imperial Calcs'!F216,'Imperial Calcs'!J216))</f>
        <v/>
      </c>
      <c r="H220" s="30" t="str">
        <f>IF(OR(C219=1,C219=""),"",IF('Imperial Data'!$B$2,'Imperial Calcs'!G216,'Imperial Calcs'!M216))</f>
        <v/>
      </c>
      <c r="I220" s="30" t="str">
        <f>IF(C220="","",IF('Imperial Data'!$B$2,'Imperial Calcs'!J216,'Imperial Calcs'!Y216))</f>
        <v/>
      </c>
      <c r="J220" s="30" t="str">
        <f>IF('Imperial Data'!$B$2,'Imperial Calcs'!M216,"")</f>
        <v/>
      </c>
      <c r="K220" s="30" t="str">
        <f>IF('Imperial Data'!$B$2,'Imperial Calcs'!Y216,"")</f>
        <v/>
      </c>
      <c r="L220" s="37" t="str">
        <f>IF('Imperial Data'!$B$2,J220,H220)</f>
        <v/>
      </c>
      <c r="M220" s="112" t="str">
        <f>IF('Imperial Data'!$B$2,K220,I220)</f>
        <v/>
      </c>
      <c r="O220" s="32" t="str">
        <f t="shared" si="34"/>
        <v/>
      </c>
      <c r="Q220" s="112">
        <f t="shared" si="35"/>
        <v>-10.083333333333329</v>
      </c>
      <c r="R220" s="32" t="str">
        <f t="shared" si="36"/>
        <v/>
      </c>
      <c r="S220" s="32" t="str">
        <f t="shared" si="32"/>
        <v/>
      </c>
      <c r="U220" s="32" t="str">
        <f t="shared" si="37"/>
        <v/>
      </c>
      <c r="W220" s="30" t="str" cm="1">
        <f t="array" ref="W220">IF($AO$21="INVERT",R220,IF(W219&gt;=$S$12,"",IF(R219="","",INDEX($R$18:$R$227,$U$17-ROWS($R$18:$R219)))))</f>
        <v/>
      </c>
      <c r="X220" s="30" t="str">
        <f t="shared" si="38"/>
        <v/>
      </c>
      <c r="Y220" s="30" t="str">
        <f>IF(Y219="","",IF($AO$21="TYP",IF(S219="","",INDEX($S$18:$S$227,$U$17-ROWS($S$18:$S219))),IF($AO$21="INVERT",S220,"")))</f>
        <v/>
      </c>
      <c r="Z220" s="75" t="str">
        <f t="shared" si="39"/>
        <v/>
      </c>
    </row>
    <row r="221" spans="1:26" x14ac:dyDescent="0.2">
      <c r="A221" s="32" t="str">
        <f t="shared" si="40"/>
        <v/>
      </c>
      <c r="C221" s="35" t="str">
        <f>IF(OR(C220=1,C220=""),"",'Imperial Calcs'!B217)</f>
        <v/>
      </c>
      <c r="D221" s="30" t="str">
        <f>IF(C221="","",'Imperial Calcs'!C217)</f>
        <v/>
      </c>
      <c r="E221" s="30" t="str">
        <f>IF(OR(C220=1,C220=""),"",IF('Imperial Data'!$B$2,'Imperial Calcs'!D217,'Imperial Calcs'!E217))</f>
        <v/>
      </c>
      <c r="F221" s="30" t="str">
        <f>IF(OR(C220=1,C220=""),"",IF('Imperial Data'!$B$2,'Imperial Calcs'!E217,'Imperial Calcs'!G217))</f>
        <v/>
      </c>
      <c r="G221" s="30" t="str">
        <f>IF(OR(C220=1,C220=""),"",IF('Imperial Data'!$B$2,'Imperial Calcs'!F217,'Imperial Calcs'!J217))</f>
        <v/>
      </c>
      <c r="H221" s="30" t="str">
        <f>IF(OR(C220=1,C220=""),"",IF('Imperial Data'!$B$2,'Imperial Calcs'!G217,'Imperial Calcs'!M217))</f>
        <v/>
      </c>
      <c r="I221" s="30" t="str">
        <f>IF(C221="","",IF('Imperial Data'!$B$2,'Imperial Calcs'!J217,'Imperial Calcs'!Y217))</f>
        <v/>
      </c>
      <c r="J221" s="30" t="str">
        <f>IF('Imperial Data'!$B$2,'Imperial Calcs'!M217,"")</f>
        <v/>
      </c>
      <c r="K221" s="30" t="str">
        <f>IF('Imperial Data'!$B$2,'Imperial Calcs'!Y217,"")</f>
        <v/>
      </c>
      <c r="L221" s="37" t="str">
        <f>IF('Imperial Data'!$B$2,J221,H221)</f>
        <v/>
      </c>
      <c r="M221" s="112" t="str">
        <f>IF('Imperial Data'!$B$2,K221,I221)</f>
        <v/>
      </c>
      <c r="O221" s="32" t="str">
        <f t="shared" si="34"/>
        <v/>
      </c>
      <c r="Q221" s="112">
        <f t="shared" si="35"/>
        <v>-10.166666666666663</v>
      </c>
      <c r="R221" s="32" t="str">
        <f t="shared" si="36"/>
        <v/>
      </c>
      <c r="S221" s="32" t="str">
        <f t="shared" si="32"/>
        <v/>
      </c>
      <c r="U221" s="32" t="str">
        <f t="shared" si="37"/>
        <v/>
      </c>
      <c r="W221" s="30" t="str" cm="1">
        <f t="array" ref="W221">IF($AO$21="INVERT",R221,IF(W220&gt;=$S$12,"",IF(R220="","",INDEX($R$18:$R$227,$U$17-ROWS($R$18:$R220)))))</f>
        <v/>
      </c>
      <c r="X221" s="30" t="str">
        <f t="shared" si="38"/>
        <v/>
      </c>
      <c r="Y221" s="30" t="str">
        <f>IF(Y220="","",IF($AO$21="TYP",IF(S220="","",INDEX($S$18:$S$227,$U$17-ROWS($S$18:$S220))),IF($AO$21="INVERT",S221,"")))</f>
        <v/>
      </c>
      <c r="Z221" s="75" t="str">
        <f t="shared" si="39"/>
        <v/>
      </c>
    </row>
    <row r="222" spans="1:26" x14ac:dyDescent="0.2">
      <c r="A222" s="32" t="str">
        <f t="shared" si="40"/>
        <v/>
      </c>
      <c r="C222" s="35" t="str">
        <f>IF(OR(C221=1,C221=""),"",'Imperial Calcs'!B218)</f>
        <v/>
      </c>
      <c r="D222" s="30" t="str">
        <f>IF(C222="","",'Imperial Calcs'!C218)</f>
        <v/>
      </c>
      <c r="E222" s="30" t="str">
        <f>IF(OR(C221=1,C221=""),"",IF('Imperial Data'!$B$2,'Imperial Calcs'!D218,'Imperial Calcs'!E218))</f>
        <v/>
      </c>
      <c r="F222" s="30" t="str">
        <f>IF(OR(C221=1,C221=""),"",IF('Imperial Data'!$B$2,'Imperial Calcs'!E218,'Imperial Calcs'!G218))</f>
        <v/>
      </c>
      <c r="G222" s="30" t="str">
        <f>IF(OR(C221=1,C221=""),"",IF('Imperial Data'!$B$2,'Imperial Calcs'!F218,'Imperial Calcs'!J218))</f>
        <v/>
      </c>
      <c r="H222" s="30" t="str">
        <f>IF(OR(C221=1,C221=""),"",IF('Imperial Data'!$B$2,'Imperial Calcs'!G218,'Imperial Calcs'!M218))</f>
        <v/>
      </c>
      <c r="I222" s="30" t="str">
        <f>IF(C222="","",IF('Imperial Data'!$B$2,'Imperial Calcs'!J218,'Imperial Calcs'!Y218))</f>
        <v/>
      </c>
      <c r="J222" s="30" t="str">
        <f>IF('Imperial Data'!$B$2,'Imperial Calcs'!M218,"")</f>
        <v/>
      </c>
      <c r="K222" s="30" t="str">
        <f>IF('Imperial Data'!$B$2,'Imperial Calcs'!Y218,"")</f>
        <v/>
      </c>
      <c r="L222" s="37" t="str">
        <f>IF('Imperial Data'!$B$2,J222,H222)</f>
        <v/>
      </c>
      <c r="M222" s="112" t="str">
        <f>IF('Imperial Data'!$B$2,K222,I222)</f>
        <v/>
      </c>
      <c r="O222" s="32" t="str">
        <f t="shared" si="34"/>
        <v/>
      </c>
      <c r="Q222" s="112">
        <f t="shared" si="35"/>
        <v>-10.249999999999996</v>
      </c>
      <c r="R222" s="32" t="str">
        <f t="shared" si="36"/>
        <v/>
      </c>
      <c r="S222" s="32" t="str">
        <f t="shared" si="32"/>
        <v/>
      </c>
      <c r="U222" s="32" t="str">
        <f t="shared" si="37"/>
        <v/>
      </c>
      <c r="W222" s="30" t="str" cm="1">
        <f t="array" ref="W222">IF($AO$21="INVERT",R222,IF(W221&gt;=$S$12,"",IF(R221="","",INDEX($R$18:$R$227,$U$17-ROWS($R$18:$R221)))))</f>
        <v/>
      </c>
      <c r="X222" s="30" t="str">
        <f t="shared" si="38"/>
        <v/>
      </c>
      <c r="Y222" s="30" t="str">
        <f>IF(Y221="","",IF($AO$21="TYP",IF(S221="","",INDEX($S$18:$S$227,$U$17-ROWS($S$18:$S221))),IF($AO$21="INVERT",S222,"")))</f>
        <v/>
      </c>
      <c r="Z222" s="75" t="str">
        <f t="shared" si="39"/>
        <v/>
      </c>
    </row>
    <row r="223" spans="1:26" x14ac:dyDescent="0.2">
      <c r="A223" s="32" t="str">
        <f t="shared" si="40"/>
        <v/>
      </c>
      <c r="C223" s="35" t="str">
        <f>IF(OR(C222=1,C222=""),"",'Imperial Calcs'!B219)</f>
        <v/>
      </c>
      <c r="D223" s="30" t="str">
        <f>IF(C223="","",'Imperial Calcs'!C219)</f>
        <v/>
      </c>
      <c r="E223" s="30" t="str">
        <f>IF(OR(C222=1,C222=""),"",IF('Imperial Data'!$B$2,'Imperial Calcs'!D219,'Imperial Calcs'!E219))</f>
        <v/>
      </c>
      <c r="F223" s="30" t="str">
        <f>IF(OR(C222=1,C222=""),"",IF('Imperial Data'!$B$2,'Imperial Calcs'!E219,'Imperial Calcs'!G219))</f>
        <v/>
      </c>
      <c r="G223" s="30" t="str">
        <f>IF(OR(C222=1,C222=""),"",IF('Imperial Data'!$B$2,'Imperial Calcs'!F219,'Imperial Calcs'!J219))</f>
        <v/>
      </c>
      <c r="H223" s="30" t="str">
        <f>IF(OR(C222=1,C222=""),"",IF('Imperial Data'!$B$2,'Imperial Calcs'!G219,'Imperial Calcs'!M219))</f>
        <v/>
      </c>
      <c r="I223" s="30" t="str">
        <f>IF(C223="","",IF('Imperial Data'!$B$2,'Imperial Calcs'!J219,'Imperial Calcs'!Y219))</f>
        <v/>
      </c>
      <c r="J223" s="30" t="str">
        <f>IF('Imperial Data'!$B$2,'Imperial Calcs'!M219,"")</f>
        <v/>
      </c>
      <c r="K223" s="30" t="str">
        <f>IF('Imperial Data'!$B$2,'Imperial Calcs'!Y219,"")</f>
        <v/>
      </c>
      <c r="L223" s="37" t="str">
        <f>IF('Imperial Data'!$B$2,J223,H223)</f>
        <v/>
      </c>
      <c r="M223" s="112" t="str">
        <f>IF('Imperial Data'!$B$2,K223,I223)</f>
        <v/>
      </c>
      <c r="O223" s="32" t="str">
        <f t="shared" si="34"/>
        <v/>
      </c>
      <c r="Q223" s="112">
        <f t="shared" si="35"/>
        <v>-10.33333333333333</v>
      </c>
      <c r="R223" s="32" t="str">
        <f t="shared" si="36"/>
        <v/>
      </c>
      <c r="S223" s="32" t="str">
        <f t="shared" si="32"/>
        <v/>
      </c>
      <c r="U223" s="32" t="str">
        <f t="shared" si="37"/>
        <v/>
      </c>
      <c r="W223" s="30" t="str" cm="1">
        <f t="array" ref="W223">IF($AO$21="INVERT",R223,IF(W222&gt;=$S$12,"",IF(R222="","",INDEX($R$18:$R$227,$U$17-ROWS($R$18:$R222)))))</f>
        <v/>
      </c>
      <c r="X223" s="30" t="str">
        <f t="shared" si="38"/>
        <v/>
      </c>
      <c r="Y223" s="30" t="str">
        <f>IF(Y222="","",IF($AO$21="TYP",IF(S222="","",INDEX($S$18:$S$227,$U$17-ROWS($S$18:$S222))),IF($AO$21="INVERT",S223,"")))</f>
        <v/>
      </c>
      <c r="Z223" s="75" t="str">
        <f t="shared" si="39"/>
        <v/>
      </c>
    </row>
    <row r="224" spans="1:26" x14ac:dyDescent="0.2">
      <c r="A224" s="32" t="str">
        <f t="shared" si="40"/>
        <v/>
      </c>
      <c r="C224" s="35" t="str">
        <f>IF(OR(C223=1,C223=""),"",'Imperial Calcs'!B220)</f>
        <v/>
      </c>
      <c r="D224" s="30" t="str">
        <f>IF(C224="","",'Imperial Calcs'!C220)</f>
        <v/>
      </c>
      <c r="E224" s="30" t="str">
        <f>IF(OR(C223=1,C223=""),"",IF('Imperial Data'!$B$2,'Imperial Calcs'!D220,'Imperial Calcs'!E220))</f>
        <v/>
      </c>
      <c r="F224" s="30" t="str">
        <f>IF(OR(C223=1,C223=""),"",IF('Imperial Data'!$B$2,'Imperial Calcs'!E220,'Imperial Calcs'!G220))</f>
        <v/>
      </c>
      <c r="G224" s="30" t="str">
        <f>IF(OR(C223=1,C223=""),"",IF('Imperial Data'!$B$2,'Imperial Calcs'!F220,'Imperial Calcs'!J220))</f>
        <v/>
      </c>
      <c r="H224" s="30" t="str">
        <f>IF(OR(C223=1,C223=""),"",IF('Imperial Data'!$B$2,'Imperial Calcs'!G220,'Imperial Calcs'!M220))</f>
        <v/>
      </c>
      <c r="I224" s="30" t="str">
        <f>IF(C224="","",IF('Imperial Data'!$B$2,'Imperial Calcs'!J220,'Imperial Calcs'!Y220))</f>
        <v/>
      </c>
      <c r="J224" s="30" t="str">
        <f>IF('Imperial Data'!$B$2,'Imperial Calcs'!M220,"")</f>
        <v/>
      </c>
      <c r="K224" s="30" t="str">
        <f>IF('Imperial Data'!$B$2,'Imperial Calcs'!Y220,"")</f>
        <v/>
      </c>
      <c r="L224" s="37" t="str">
        <f>IF('Imperial Data'!$B$2,J224,H224)</f>
        <v/>
      </c>
      <c r="M224" s="112" t="str">
        <f>IF('Imperial Data'!$B$2,K224,I224)</f>
        <v/>
      </c>
      <c r="O224" s="32" t="str">
        <f t="shared" si="34"/>
        <v/>
      </c>
      <c r="Q224" s="112">
        <f t="shared" si="35"/>
        <v>-10.416666666666664</v>
      </c>
      <c r="R224" s="32" t="str">
        <f t="shared" si="36"/>
        <v/>
      </c>
      <c r="S224" s="32" t="str">
        <f t="shared" si="32"/>
        <v/>
      </c>
      <c r="U224" s="32" t="str">
        <f t="shared" si="37"/>
        <v/>
      </c>
      <c r="W224" s="30" t="str" cm="1">
        <f t="array" ref="W224">IF($AO$21="INVERT",R224,IF(W223&gt;=$S$12,"",IF(R223="","",INDEX($R$18:$R$227,$U$17-ROWS($R$18:$R223)))))</f>
        <v/>
      </c>
      <c r="X224" s="30" t="str">
        <f t="shared" si="38"/>
        <v/>
      </c>
      <c r="Y224" s="30" t="str">
        <f>IF(Y223="","",IF($AO$21="TYP",IF(S223="","",INDEX($S$18:$S$227,$U$17-ROWS($S$18:$S223))),IF($AO$21="INVERT",S224,"")))</f>
        <v/>
      </c>
      <c r="Z224" s="75" t="str">
        <f t="shared" si="39"/>
        <v/>
      </c>
    </row>
    <row r="225" spans="1:26" x14ac:dyDescent="0.2">
      <c r="A225" s="32" t="str">
        <f t="shared" si="40"/>
        <v/>
      </c>
      <c r="C225" s="35" t="str">
        <f>IF(OR(C224=1,C224=""),"",'Imperial Calcs'!B221)</f>
        <v/>
      </c>
      <c r="D225" s="30" t="str">
        <f>IF(C225="","",'Imperial Calcs'!C221)</f>
        <v/>
      </c>
      <c r="E225" s="30" t="str">
        <f>IF(OR(C224=1,C224=""),"",IF('Imperial Data'!$B$2,'Imperial Calcs'!D221,'Imperial Calcs'!E221))</f>
        <v/>
      </c>
      <c r="F225" s="30" t="str">
        <f>IF(OR(C224=1,C224=""),"",IF('Imperial Data'!$B$2,'Imperial Calcs'!E221,'Imperial Calcs'!G221))</f>
        <v/>
      </c>
      <c r="G225" s="30" t="str">
        <f>IF(OR(C224=1,C224=""),"",IF('Imperial Data'!$B$2,'Imperial Calcs'!F221,'Imperial Calcs'!J221))</f>
        <v/>
      </c>
      <c r="H225" s="30" t="str">
        <f>IF(OR(C224=1,C224=""),"",IF('Imperial Data'!$B$2,'Imperial Calcs'!G221,'Imperial Calcs'!M221))</f>
        <v/>
      </c>
      <c r="I225" s="30" t="str">
        <f>IF(C225="","",IF('Imperial Data'!$B$2,'Imperial Calcs'!J221,'Imperial Calcs'!Y221))</f>
        <v/>
      </c>
      <c r="J225" s="30" t="str">
        <f>IF('Imperial Data'!$B$2,'Imperial Calcs'!M221,"")</f>
        <v/>
      </c>
      <c r="K225" s="30" t="str">
        <f>IF('Imperial Data'!$B$2,'Imperial Calcs'!Y221,"")</f>
        <v/>
      </c>
      <c r="L225" s="37" t="str">
        <f>IF('Imperial Data'!$B$2,J225,H225)</f>
        <v/>
      </c>
      <c r="M225" s="112" t="str">
        <f>IF('Imperial Data'!$B$2,K225,I225)</f>
        <v/>
      </c>
      <c r="O225" s="32" t="str">
        <f t="shared" si="34"/>
        <v/>
      </c>
      <c r="Q225" s="112">
        <f t="shared" si="35"/>
        <v>-10.499999999999998</v>
      </c>
      <c r="R225" s="32" t="str">
        <f t="shared" si="36"/>
        <v/>
      </c>
      <c r="S225" s="32" t="str">
        <f t="shared" si="32"/>
        <v/>
      </c>
      <c r="U225" s="32" t="str">
        <f t="shared" si="37"/>
        <v/>
      </c>
      <c r="W225" s="30" t="str" cm="1">
        <f t="array" ref="W225">IF($AO$21="INVERT",R225,IF(W224&gt;=$S$12,"",IF(R224="","",INDEX($R$18:$R$227,$U$17-ROWS($R$18:$R224)))))</f>
        <v/>
      </c>
      <c r="X225" s="30" t="str">
        <f t="shared" si="38"/>
        <v/>
      </c>
      <c r="Y225" s="30" t="str">
        <f>IF(Y224="","",IF($AO$21="TYP",IF(S224="","",INDEX($S$18:$S$227,$U$17-ROWS($S$18:$S224))),IF($AO$21="INVERT",S225,"")))</f>
        <v/>
      </c>
      <c r="Z225" s="75" t="str">
        <f t="shared" si="39"/>
        <v/>
      </c>
    </row>
    <row r="226" spans="1:26" x14ac:dyDescent="0.2">
      <c r="A226" s="32" t="str">
        <f t="shared" si="40"/>
        <v/>
      </c>
      <c r="C226" s="35" t="str">
        <f>IF(OR(C225=1,C225=""),"",'Imperial Calcs'!B222)</f>
        <v/>
      </c>
      <c r="D226" s="30" t="str">
        <f>IF(C226="","",'Imperial Calcs'!C222)</f>
        <v/>
      </c>
      <c r="E226" s="30" t="str">
        <f>IF(OR(C225=1,C225=""),"",IF('Imperial Data'!$B$2,'Imperial Calcs'!D222,'Imperial Calcs'!E222))</f>
        <v/>
      </c>
      <c r="F226" s="30" t="str">
        <f>IF(OR(C225=1,C225=""),"",IF('Imperial Data'!$B$2,'Imperial Calcs'!E222,'Imperial Calcs'!G222))</f>
        <v/>
      </c>
      <c r="G226" s="30" t="str">
        <f>IF(OR(C225=1,C225=""),"",IF('Imperial Data'!$B$2,'Imperial Calcs'!F222,'Imperial Calcs'!J222))</f>
        <v/>
      </c>
      <c r="H226" s="30" t="str">
        <f>IF(OR(C225=1,C225=""),"",IF('Imperial Data'!$B$2,'Imperial Calcs'!G222,'Imperial Calcs'!M222))</f>
        <v/>
      </c>
      <c r="I226" s="30" t="str">
        <f>IF(C226="","",IF('Imperial Data'!$B$2,'Imperial Calcs'!J222,'Imperial Calcs'!Y222))</f>
        <v/>
      </c>
      <c r="J226" s="30" t="str">
        <f>IF('Imperial Data'!$B$2,'Imperial Calcs'!M222,"")</f>
        <v/>
      </c>
      <c r="K226" s="30" t="str">
        <f>IF('Imperial Data'!$B$2,'Imperial Calcs'!Y222,"")</f>
        <v/>
      </c>
      <c r="L226" s="37" t="str">
        <f>IF('Imperial Data'!$B$2,J226,H226)</f>
        <v/>
      </c>
      <c r="M226" s="112" t="str">
        <f>IF('Imperial Data'!$B$2,K226,I226)</f>
        <v/>
      </c>
      <c r="O226" s="32" t="str">
        <f t="shared" si="34"/>
        <v/>
      </c>
      <c r="Q226" s="112">
        <f t="shared" si="35"/>
        <v>-10.583333333333332</v>
      </c>
      <c r="R226" s="32" t="str">
        <f t="shared" si="36"/>
        <v/>
      </c>
      <c r="S226" s="32" t="str">
        <f t="shared" si="32"/>
        <v/>
      </c>
      <c r="U226" s="32" t="str">
        <f t="shared" si="37"/>
        <v/>
      </c>
      <c r="W226" s="30" t="str" cm="1">
        <f t="array" ref="W226">IF($AO$21="INVERT",R226,IF(W225&gt;=$S$12,"",IF(R225="","",INDEX($R$18:$R$227,$U$17-ROWS($R$18:$R225)))))</f>
        <v/>
      </c>
      <c r="X226" s="30" t="str">
        <f t="shared" si="38"/>
        <v/>
      </c>
      <c r="Y226" s="30" t="str">
        <f>IF(Y225="","",IF($AO$21="TYP",IF(S225="","",INDEX($S$18:$S$227,$U$17-ROWS($S$18:$S225))),IF($AO$21="INVERT",S226,"")))</f>
        <v/>
      </c>
      <c r="Z226" s="75" t="str">
        <f t="shared" si="39"/>
        <v/>
      </c>
    </row>
    <row r="227" spans="1:26" x14ac:dyDescent="0.2">
      <c r="A227" s="32" t="str">
        <f t="shared" si="40"/>
        <v/>
      </c>
      <c r="C227" s="35" t="str">
        <f>IF(OR(C226=1,C226=""),"",'Imperial Calcs'!B223)</f>
        <v/>
      </c>
      <c r="D227" s="30" t="str">
        <f>IF(C227="","",'Imperial Calcs'!C223)</f>
        <v/>
      </c>
      <c r="E227" s="30" t="str">
        <f>IF(OR(C226=1,C226=""),"",IF('Imperial Data'!$B$2,'Imperial Calcs'!D223,'Imperial Calcs'!E223))</f>
        <v/>
      </c>
      <c r="F227" s="30" t="str">
        <f>IF(OR(C226=1,C226=""),"",IF('Imperial Data'!$B$2,'Imperial Calcs'!E223,'Imperial Calcs'!G223))</f>
        <v/>
      </c>
      <c r="G227" s="30" t="str">
        <f>IF(OR(C226=1,C226=""),"",IF('Imperial Data'!$B$2,'Imperial Calcs'!F223,'Imperial Calcs'!J223))</f>
        <v/>
      </c>
      <c r="H227" s="30" t="str">
        <f>IF(OR(C226=1,C226=""),"",IF('Imperial Data'!$B$2,'Imperial Calcs'!G223,'Imperial Calcs'!M223))</f>
        <v/>
      </c>
      <c r="I227" s="30" t="str">
        <f>IF(C227="","",IF('Imperial Data'!$B$2,'Imperial Calcs'!J223,'Imperial Calcs'!Y223))</f>
        <v/>
      </c>
      <c r="J227" s="30" t="str">
        <f>IF('Imperial Data'!$B$2,'Imperial Calcs'!M223,"")</f>
        <v/>
      </c>
      <c r="K227" s="30" t="str">
        <f>IF('Imperial Data'!$B$2,'Imperial Calcs'!Y223,"")</f>
        <v/>
      </c>
      <c r="L227" s="37" t="str">
        <f>IF('Imperial Data'!$B$2,J227,H227)</f>
        <v/>
      </c>
      <c r="M227" s="112" t="str">
        <f>IF('Imperial Data'!$B$2,K227,I227)</f>
        <v/>
      </c>
      <c r="O227" s="32" t="str">
        <f t="shared" si="34"/>
        <v/>
      </c>
      <c r="Q227" s="112">
        <f t="shared" si="35"/>
        <v>-10.666666666666666</v>
      </c>
      <c r="R227" s="32" t="str">
        <f t="shared" si="36"/>
        <v/>
      </c>
      <c r="S227" s="32" t="str">
        <f t="shared" si="32"/>
        <v/>
      </c>
      <c r="U227" s="32" t="str">
        <f t="shared" si="37"/>
        <v/>
      </c>
      <c r="W227" s="30" t="str" cm="1">
        <f t="array" ref="W227">IF($AO$21="INVERT",R227,IF(W226&gt;=$S$12,"",IF(R226="","",INDEX($R$18:$R$227,$U$17-ROWS($R$18:$R226)))))</f>
        <v/>
      </c>
      <c r="X227" s="30" t="str">
        <f t="shared" si="38"/>
        <v/>
      </c>
      <c r="Y227" s="30" t="str">
        <f>IF(Y226="","",IF($AO$21="TYP",IF(S226="","",INDEX($S$18:$S$227,$U$17-ROWS($S$18:$S226))),IF($AO$21="INVERT",S227,"")))</f>
        <v/>
      </c>
      <c r="Z227" s="75" t="str">
        <f t="shared" si="39"/>
        <v/>
      </c>
    </row>
    <row r="228" spans="1:26" x14ac:dyDescent="0.2">
      <c r="A228" s="32" t="str">
        <f t="shared" si="40"/>
        <v/>
      </c>
      <c r="C228" s="35" t="str">
        <f>IF(OR(C227=1,C227=""),"",'Imperial Calcs'!B224)</f>
        <v/>
      </c>
      <c r="D228" s="30" t="str">
        <f>IF(C228="","",'Imperial Calcs'!C224)</f>
        <v/>
      </c>
      <c r="E228" s="30" t="str">
        <f>IF(OR(C227=1,C227=""),"",IF('Imperial Data'!$B$2,'Imperial Calcs'!D224,'Imperial Calcs'!E224))</f>
        <v/>
      </c>
      <c r="F228" s="30" t="str">
        <f>IF(OR(C227=1,C227=""),"",IF('Imperial Data'!$B$2,'Imperial Calcs'!E224,'Imperial Calcs'!G224))</f>
        <v/>
      </c>
      <c r="G228" s="30" t="str">
        <f>IF(OR(C227=1,C227=""),"",IF('Imperial Data'!$B$2,'Imperial Calcs'!F224,'Imperial Calcs'!J224))</f>
        <v/>
      </c>
      <c r="H228" s="30" t="str">
        <f>IF(OR(C227=1,C227=""),"",IF('Imperial Data'!$B$2,'Imperial Calcs'!G224,'Imperial Calcs'!M224))</f>
        <v/>
      </c>
      <c r="I228" s="30" t="str">
        <f>IF(C228="","",IF('Imperial Data'!$B$2,'Imperial Calcs'!J224,'Imperial Calcs'!Y224))</f>
        <v/>
      </c>
      <c r="J228" s="30" t="str">
        <f>IF('Imperial Data'!$B$2,'Imperial Calcs'!M224,"")</f>
        <v/>
      </c>
      <c r="K228" s="30"/>
      <c r="L228" s="37" t="str">
        <f>IF('Imperial Data'!$B$2,J228,H228)</f>
        <v/>
      </c>
      <c r="M228" s="112"/>
    </row>
    <row r="229" spans="1:26" x14ac:dyDescent="0.2">
      <c r="A229" s="32" t="str">
        <f t="shared" si="40"/>
        <v/>
      </c>
      <c r="C229" s="35" t="str">
        <f>IF(OR(C228=1,C228=""),"",'Imperial Calcs'!B225)</f>
        <v/>
      </c>
      <c r="D229" s="30" t="str">
        <f>IF(C229="","",'Imperial Calcs'!C225)</f>
        <v/>
      </c>
      <c r="E229" s="30" t="str">
        <f>IF(OR(C228=1,C228=""),"",IF('Imperial Data'!$B$2,'Imperial Calcs'!D225,'Imperial Calcs'!E225))</f>
        <v/>
      </c>
      <c r="F229" s="30" t="str">
        <f>IF(OR(C228=1,C228=""),"",IF('Imperial Data'!$B$2,'Imperial Calcs'!E225,'Imperial Calcs'!G225))</f>
        <v/>
      </c>
      <c r="G229" s="30" t="str">
        <f>IF(OR(C228=1,C228=""),"",IF('Imperial Data'!$B$2,'Imperial Calcs'!F225,'Imperial Calcs'!J225))</f>
        <v/>
      </c>
      <c r="H229" s="30" t="str">
        <f>IF(OR(C228=1,C228=""),"",IF('Imperial Data'!$B$2,'Imperial Calcs'!G225,'Imperial Calcs'!M225))</f>
        <v/>
      </c>
      <c r="I229" s="30" t="str">
        <f>IF(C229="","",IF('Imperial Data'!$B$2,'Imperial Calcs'!J225,'Imperial Calcs'!Y225))</f>
        <v/>
      </c>
      <c r="J229" s="30" t="str">
        <f>IF('Imperial Data'!$B$2,'Imperial Calcs'!M225,"")</f>
        <v/>
      </c>
      <c r="K229" s="30"/>
      <c r="L229" s="37" t="str">
        <f>IF('Imperial Data'!$B$2,J229,H229)</f>
        <v/>
      </c>
      <c r="M229" s="112"/>
    </row>
    <row r="230" spans="1:26" x14ac:dyDescent="0.2">
      <c r="A230" s="32" t="str">
        <f t="shared" si="40"/>
        <v/>
      </c>
      <c r="C230" s="35" t="str">
        <f>IF(OR(C229=1,C229=""),"",'Imperial Calcs'!B226)</f>
        <v/>
      </c>
      <c r="D230" s="30" t="str">
        <f>IF(C230="","",'Imperial Calcs'!C226)</f>
        <v/>
      </c>
      <c r="E230" s="30" t="str">
        <f>IF(OR(C229=1,C229=""),"",IF('Imperial Data'!$B$2,'Imperial Calcs'!D226,'Imperial Calcs'!E226))</f>
        <v/>
      </c>
      <c r="F230" s="30" t="str">
        <f>IF(OR(C229=1,C229=""),"",IF('Imperial Data'!$B$2,'Imperial Calcs'!E226,'Imperial Calcs'!G226))</f>
        <v/>
      </c>
      <c r="G230" s="30" t="str">
        <f>IF(OR(C229=1,C229=""),"",IF('Imperial Data'!$B$2,'Imperial Calcs'!F226,'Imperial Calcs'!J226))</f>
        <v/>
      </c>
      <c r="H230" s="30" t="str">
        <f>IF(OR(C229=1,C229=""),"",IF('Imperial Data'!$B$2,'Imperial Calcs'!G226,'Imperial Calcs'!M226))</f>
        <v/>
      </c>
      <c r="I230" s="30" t="str">
        <f>IF(C230="","",IF('Imperial Data'!$B$2,'Imperial Calcs'!J226,'Imperial Calcs'!Y226))</f>
        <v/>
      </c>
      <c r="J230" s="30" t="str">
        <f>IF('Imperial Data'!$B$2,'Imperial Calcs'!M226,"")</f>
        <v/>
      </c>
      <c r="K230" s="30"/>
      <c r="L230" s="37" t="str">
        <f>IF('Imperial Data'!$B$2,J230,H230)</f>
        <v/>
      </c>
      <c r="M230" s="112"/>
    </row>
    <row r="231" spans="1:26" x14ac:dyDescent="0.2">
      <c r="A231" s="32" t="str">
        <f t="shared" si="40"/>
        <v/>
      </c>
      <c r="C231" s="35" t="str">
        <f>IF(OR(C230=1,C230=""),"",'Imperial Calcs'!B227)</f>
        <v/>
      </c>
      <c r="D231" s="30" t="str">
        <f>IF(C231="","",'Imperial Calcs'!C227)</f>
        <v/>
      </c>
      <c r="E231" s="30" t="str">
        <f>IF(OR(C230=1,C230=""),"",IF('Imperial Data'!$B$2,'Imperial Calcs'!D227,'Imperial Calcs'!E227))</f>
        <v/>
      </c>
      <c r="F231" s="30" t="str">
        <f>IF(OR(C230=1,C230=""),"",IF('Imperial Data'!$B$2,'Imperial Calcs'!E227,'Imperial Calcs'!G227))</f>
        <v/>
      </c>
      <c r="G231" s="30" t="str">
        <f>IF(OR(C230=1,C230=""),"",IF('Imperial Data'!$B$2,'Imperial Calcs'!F227,'Imperial Calcs'!J227))</f>
        <v/>
      </c>
      <c r="H231" s="30" t="str">
        <f>IF(OR(C230=1,C230=""),"",IF('Imperial Data'!$B$2,'Imperial Calcs'!G227,'Imperial Calcs'!M227))</f>
        <v/>
      </c>
      <c r="I231" s="30" t="str">
        <f>IF(C231="","",IF('Imperial Data'!$B$2,'Imperial Calcs'!J227,'Imperial Calcs'!Y227))</f>
        <v/>
      </c>
      <c r="J231" s="30" t="str">
        <f>IF('Imperial Data'!$B$2,'Imperial Calcs'!M227,"")</f>
        <v/>
      </c>
      <c r="K231" s="30"/>
      <c r="L231" s="37" t="str">
        <f>IF('Imperial Data'!$B$2,J231,H231)</f>
        <v/>
      </c>
      <c r="M231" s="112"/>
    </row>
    <row r="232" spans="1:26" x14ac:dyDescent="0.2">
      <c r="A232" s="32" t="str">
        <f t="shared" si="40"/>
        <v/>
      </c>
      <c r="C232" s="35" t="str">
        <f>IF(OR(C231=1,C231=""),"",'Imperial Calcs'!B228)</f>
        <v/>
      </c>
      <c r="D232" s="30" t="str">
        <f>IF(C232="","",'Imperial Calcs'!C228)</f>
        <v/>
      </c>
      <c r="E232" s="30" t="str">
        <f>IF(OR(C231=1,C231=""),"",IF('Imperial Data'!$B$2,'Imperial Calcs'!D228,'Imperial Calcs'!E228))</f>
        <v/>
      </c>
      <c r="F232" s="30" t="str">
        <f>IF(OR(C231=1,C231=""),"",IF('Imperial Data'!$B$2,'Imperial Calcs'!E228,'Imperial Calcs'!G228))</f>
        <v/>
      </c>
      <c r="G232" s="30" t="str">
        <f>IF(OR(C231=1,C231=""),"",IF('Imperial Data'!$B$2,'Imperial Calcs'!F228,'Imperial Calcs'!J228))</f>
        <v/>
      </c>
      <c r="H232" s="30" t="str">
        <f>IF(OR(C231=1,C231=""),"",IF('Imperial Data'!$B$2,'Imperial Calcs'!G228,'Imperial Calcs'!M228))</f>
        <v/>
      </c>
      <c r="I232" s="30" t="str">
        <f>IF(C232="","",IF('Imperial Data'!$B$2,'Imperial Calcs'!J228,'Imperial Calcs'!Y228))</f>
        <v/>
      </c>
      <c r="J232" s="30" t="str">
        <f>IF('Imperial Data'!$B$2,'Imperial Calcs'!M228,"")</f>
        <v/>
      </c>
      <c r="K232" s="30"/>
      <c r="L232" s="37" t="str">
        <f>IF('Imperial Data'!$B$2,J232,H232)</f>
        <v/>
      </c>
      <c r="M232" s="112"/>
    </row>
    <row r="233" spans="1:26" x14ac:dyDescent="0.2">
      <c r="A233" s="32" t="str">
        <f t="shared" si="40"/>
        <v/>
      </c>
      <c r="C233" s="35" t="str">
        <f>IF(OR(C232=1,C232=""),"",'Imperial Calcs'!B229)</f>
        <v/>
      </c>
      <c r="D233" s="30" t="str">
        <f>IF(C233="","",'Imperial Calcs'!C229)</f>
        <v/>
      </c>
      <c r="E233" s="30" t="str">
        <f>IF(OR(C232=1,C232=""),"",IF('Imperial Data'!$B$2,'Imperial Calcs'!D229,'Imperial Calcs'!E229))</f>
        <v/>
      </c>
      <c r="F233" s="30" t="str">
        <f>IF(OR(C232=1,C232=""),"",IF('Imperial Data'!$B$2,'Imperial Calcs'!E229,'Imperial Calcs'!G229))</f>
        <v/>
      </c>
      <c r="G233" s="30" t="str">
        <f>IF(OR(C232=1,C232=""),"",IF('Imperial Data'!$B$2,'Imperial Calcs'!F229,'Imperial Calcs'!J229))</f>
        <v/>
      </c>
      <c r="H233" s="30" t="str">
        <f>IF(OR(C232=1,C232=""),"",IF('Imperial Data'!$B$2,'Imperial Calcs'!G229,'Imperial Calcs'!M229))</f>
        <v/>
      </c>
      <c r="I233" s="30" t="str">
        <f>IF(C233="","",IF('Imperial Data'!$B$2,'Imperial Calcs'!J229,'Imperial Calcs'!Y229))</f>
        <v/>
      </c>
      <c r="J233" s="30" t="str">
        <f>IF('Imperial Data'!$B$2,'Imperial Calcs'!M229,"")</f>
        <v/>
      </c>
      <c r="K233" s="30"/>
      <c r="L233" s="37" t="str">
        <f>IF('Imperial Data'!$B$2,J233,H233)</f>
        <v/>
      </c>
      <c r="M233" s="112"/>
    </row>
    <row r="234" spans="1:26" x14ac:dyDescent="0.2">
      <c r="A234" s="32" t="str">
        <f t="shared" si="40"/>
        <v/>
      </c>
      <c r="C234" s="35" t="str">
        <f>IF(OR(C233=1,C233=""),"",'Imperial Calcs'!B230)</f>
        <v/>
      </c>
      <c r="D234" s="30" t="str">
        <f>IF(C234="","",'Imperial Calcs'!C230)</f>
        <v/>
      </c>
      <c r="E234" s="30" t="str">
        <f>IF(OR(C233=1,C233=""),"",IF('Imperial Data'!$B$2,'Imperial Calcs'!D230,'Imperial Calcs'!E230))</f>
        <v/>
      </c>
      <c r="F234" s="30" t="str">
        <f>IF(OR(C233=1,C233=""),"",IF('Imperial Data'!$B$2,'Imperial Calcs'!E230,'Imperial Calcs'!G230))</f>
        <v/>
      </c>
      <c r="G234" s="30" t="str">
        <f>IF(OR(C233=1,C233=""),"",IF('Imperial Data'!$B$2,'Imperial Calcs'!F230,'Imperial Calcs'!J230))</f>
        <v/>
      </c>
      <c r="H234" s="30" t="str">
        <f>IF(OR(C233=1,C233=""),"",IF('Imperial Data'!$B$2,'Imperial Calcs'!G230,'Imperial Calcs'!M230))</f>
        <v/>
      </c>
      <c r="I234" s="30" t="str">
        <f>IF(C234="","",IF('Imperial Data'!$B$2,'Imperial Calcs'!J230,'Imperial Calcs'!Y230))</f>
        <v/>
      </c>
      <c r="J234" s="30" t="str">
        <f>IF('Imperial Data'!$B$2,'Imperial Calcs'!M230,"")</f>
        <v/>
      </c>
      <c r="K234" s="30"/>
      <c r="L234" s="37" t="str">
        <f>IF('Imperial Data'!$B$2,J234,H234)</f>
        <v/>
      </c>
      <c r="M234" s="112"/>
    </row>
    <row r="235" spans="1:26" x14ac:dyDescent="0.2">
      <c r="A235" s="32" t="str">
        <f t="shared" si="40"/>
        <v/>
      </c>
      <c r="C235" s="35" t="str">
        <f>IF(OR(C234=1,C234=""),"",'Imperial Calcs'!B231)</f>
        <v/>
      </c>
      <c r="D235" s="30" t="str">
        <f>IF(C235="","",'Imperial Calcs'!C231)</f>
        <v/>
      </c>
      <c r="E235" s="30" t="str">
        <f>IF(OR(C234=1,C234=""),"",IF('Imperial Data'!$B$2,'Imperial Calcs'!D231,'Imperial Calcs'!E231))</f>
        <v/>
      </c>
      <c r="F235" s="30" t="str">
        <f>IF(OR(C234=1,C234=""),"",IF('Imperial Data'!$B$2,'Imperial Calcs'!E231,'Imperial Calcs'!G231))</f>
        <v/>
      </c>
      <c r="G235" s="30" t="str">
        <f>IF(OR(C234=1,C234=""),"",IF('Imperial Data'!$B$2,'Imperial Calcs'!F231,'Imperial Calcs'!J231))</f>
        <v/>
      </c>
      <c r="H235" s="30" t="str">
        <f>IF(OR(C234=1,C234=""),"",IF('Imperial Data'!$B$2,'Imperial Calcs'!G231,'Imperial Calcs'!M231))</f>
        <v/>
      </c>
      <c r="I235" s="30" t="str">
        <f>IF(C235="","",IF('Imperial Data'!$B$2,'Imperial Calcs'!J231,'Imperial Calcs'!Y231))</f>
        <v/>
      </c>
      <c r="J235" s="30" t="str">
        <f>IF('Imperial Data'!$B$2,'Imperial Calcs'!M231,"")</f>
        <v/>
      </c>
      <c r="K235" s="30"/>
      <c r="L235" s="37" t="str">
        <f>IF('Imperial Data'!$B$2,J235,H235)</f>
        <v/>
      </c>
      <c r="M235" s="112"/>
    </row>
    <row r="236" spans="1:26" x14ac:dyDescent="0.2">
      <c r="A236" s="32" t="str">
        <f t="shared" si="40"/>
        <v/>
      </c>
      <c r="C236" s="35" t="str">
        <f>IF(OR(C235=1,C235=""),"",'Imperial Calcs'!B232)</f>
        <v/>
      </c>
      <c r="D236" s="30" t="str">
        <f>IF(C236="","",'Imperial Calcs'!C232)</f>
        <v/>
      </c>
      <c r="E236" s="30" t="str">
        <f>IF(OR(C235=1,C235=""),"",IF('Imperial Data'!$B$2,'Imperial Calcs'!D232,'Imperial Calcs'!E232))</f>
        <v/>
      </c>
      <c r="F236" s="30" t="str">
        <f>IF(OR(C235=1,C235=""),"",IF('Imperial Data'!$B$2,'Imperial Calcs'!E232,'Imperial Calcs'!G232))</f>
        <v/>
      </c>
      <c r="G236" s="30" t="str">
        <f>IF(OR(C235=1,C235=""),"",IF('Imperial Data'!$B$2,'Imperial Calcs'!F232,'Imperial Calcs'!J232))</f>
        <v/>
      </c>
      <c r="H236" s="30" t="str">
        <f>IF(OR(C235=1,C235=""),"",IF('Imperial Data'!$B$2,'Imperial Calcs'!G232,'Imperial Calcs'!M232))</f>
        <v/>
      </c>
      <c r="I236" s="30" t="str">
        <f>IF(C236="","",IF('Imperial Data'!$B$2,'Imperial Calcs'!J232,'Imperial Calcs'!Y232))</f>
        <v/>
      </c>
      <c r="J236" s="30" t="str">
        <f>IF('Imperial Data'!$B$2,'Imperial Calcs'!M232,"")</f>
        <v/>
      </c>
      <c r="K236" s="30"/>
      <c r="L236" s="37" t="str">
        <f>IF('Imperial Data'!$B$2,J236,H236)</f>
        <v/>
      </c>
      <c r="M236" s="112"/>
    </row>
    <row r="237" spans="1:26" x14ac:dyDescent="0.2">
      <c r="A237" s="32" t="str">
        <f t="shared" si="40"/>
        <v/>
      </c>
      <c r="C237" s="35" t="str">
        <f>IF(OR(C236=1,C236=""),"",'Imperial Calcs'!B233)</f>
        <v/>
      </c>
      <c r="D237" s="30" t="str">
        <f>IF(C237="","",'Imperial Calcs'!C233)</f>
        <v/>
      </c>
      <c r="E237" s="30" t="str">
        <f>IF(OR(C236=1,C236=""),"",IF('Imperial Data'!$B$2,'Imperial Calcs'!D233,'Imperial Calcs'!E233))</f>
        <v/>
      </c>
      <c r="F237" s="30" t="str">
        <f>IF(OR(C236=1,C236=""),"",IF('Imperial Data'!$B$2,'Imperial Calcs'!E233,'Imperial Calcs'!G233))</f>
        <v/>
      </c>
      <c r="G237" s="30" t="str">
        <f>IF(OR(C236=1,C236=""),"",IF('Imperial Data'!$B$2,'Imperial Calcs'!F233,'Imperial Calcs'!J233))</f>
        <v/>
      </c>
      <c r="H237" s="30" t="str">
        <f>IF(OR(C236=1,C236=""),"",IF('Imperial Data'!$B$2,'Imperial Calcs'!G233,'Imperial Calcs'!M233))</f>
        <v/>
      </c>
      <c r="I237" s="30" t="str">
        <f>IF(C237="","",IF('Imperial Data'!$B$2,'Imperial Calcs'!J233,'Imperial Calcs'!Y233))</f>
        <v/>
      </c>
      <c r="J237" s="30" t="str">
        <f>IF('Imperial Data'!$B$2,'Imperial Calcs'!M233,"")</f>
        <v/>
      </c>
      <c r="K237" s="30"/>
      <c r="L237" s="37" t="str">
        <f>IF('Imperial Data'!$B$2,J237,H237)</f>
        <v/>
      </c>
      <c r="M237" s="112"/>
    </row>
    <row r="238" spans="1:26" x14ac:dyDescent="0.2">
      <c r="A238" s="32" t="str">
        <f t="shared" si="40"/>
        <v/>
      </c>
      <c r="C238" s="35" t="str">
        <f>IF(OR(C237=1,C237=""),"",'Imperial Calcs'!B234)</f>
        <v/>
      </c>
      <c r="D238" s="30" t="str">
        <f>IF(C238="","",'Imperial Calcs'!C234)</f>
        <v/>
      </c>
      <c r="E238" s="30" t="str">
        <f>IF(OR(C237=1,C237=""),"",IF('Imperial Data'!$B$2,'Imperial Calcs'!D234,'Imperial Calcs'!E234))</f>
        <v/>
      </c>
      <c r="F238" s="30" t="str">
        <f>IF(OR(C237=1,C237=""),"",IF('Imperial Data'!$B$2,'Imperial Calcs'!E234,'Imperial Calcs'!G234))</f>
        <v/>
      </c>
      <c r="G238" s="30" t="str">
        <f>IF(OR(C237=1,C237=""),"",IF('Imperial Data'!$B$2,'Imperial Calcs'!F234,'Imperial Calcs'!J234))</f>
        <v/>
      </c>
      <c r="H238" s="30" t="str">
        <f>IF(OR(C237=1,C237=""),"",IF('Imperial Data'!$B$2,'Imperial Calcs'!G234,'Imperial Calcs'!M234))</f>
        <v/>
      </c>
      <c r="I238" s="30" t="str">
        <f>IF(C238="","",IF('Imperial Data'!$B$2,'Imperial Calcs'!J234,'Imperial Calcs'!Y234))</f>
        <v/>
      </c>
      <c r="J238" s="30" t="str">
        <f>IF('Imperial Data'!$B$2,'Imperial Calcs'!M234,"")</f>
        <v/>
      </c>
      <c r="K238" s="30"/>
      <c r="L238" s="37" t="str">
        <f>IF('Imperial Data'!$B$2,J238,H238)</f>
        <v/>
      </c>
      <c r="M238" s="112"/>
    </row>
    <row r="239" spans="1:26" x14ac:dyDescent="0.2">
      <c r="A239" s="32" t="str">
        <f t="shared" si="40"/>
        <v/>
      </c>
      <c r="C239" s="35" t="str">
        <f>IF(OR(C238=1,C238=""),"",'Imperial Calcs'!B235)</f>
        <v/>
      </c>
      <c r="D239" s="30" t="str">
        <f>IF(C239="","",'Imperial Calcs'!C235)</f>
        <v/>
      </c>
      <c r="E239" s="30" t="str">
        <f>IF(OR(C238=1,C238=""),"",IF('Imperial Data'!$B$2,'Imperial Calcs'!D235,'Imperial Calcs'!E235))</f>
        <v/>
      </c>
      <c r="F239" s="30" t="str">
        <f>IF(OR(C238=1,C238=""),"",IF('Imperial Data'!$B$2,'Imperial Calcs'!E235,'Imperial Calcs'!G235))</f>
        <v/>
      </c>
      <c r="G239" s="30" t="str">
        <f>IF(OR(C238=1,C238=""),"",IF('Imperial Data'!$B$2,'Imperial Calcs'!F235,'Imperial Calcs'!J235))</f>
        <v/>
      </c>
      <c r="H239" s="30" t="str">
        <f>IF(OR(C238=1,C238=""),"",IF('Imperial Data'!$B$2,'Imperial Calcs'!G235,'Imperial Calcs'!M235))</f>
        <v/>
      </c>
      <c r="I239" s="30" t="str">
        <f>IF(C239="","",IF('Imperial Data'!$B$2,'Imperial Calcs'!J235,'Imperial Calcs'!Y235))</f>
        <v/>
      </c>
      <c r="J239" s="30" t="str">
        <f>IF('Imperial Data'!$B$2,'Imperial Calcs'!M235,"")</f>
        <v/>
      </c>
      <c r="K239" s="30"/>
      <c r="L239" s="37" t="str">
        <f>IF('Imperial Data'!$B$2,J239,H239)</f>
        <v/>
      </c>
      <c r="M239" s="112"/>
    </row>
    <row r="240" spans="1:26" x14ac:dyDescent="0.2">
      <c r="A240" s="32" t="str">
        <f t="shared" si="40"/>
        <v/>
      </c>
      <c r="C240" s="35" t="str">
        <f>IF(OR(C239=1,C239=""),"",'Imperial Calcs'!B236)</f>
        <v/>
      </c>
      <c r="D240" s="30" t="str">
        <f>IF(C240="","",'Imperial Calcs'!C236)</f>
        <v/>
      </c>
      <c r="E240" s="30" t="str">
        <f>IF(OR(C239=1,C239=""),"",IF('Imperial Data'!$B$2,'Imperial Calcs'!D236,'Imperial Calcs'!E236))</f>
        <v/>
      </c>
      <c r="F240" s="30" t="str">
        <f>IF(OR(C239=1,C239=""),"",IF('Imperial Data'!$B$2,'Imperial Calcs'!E236,'Imperial Calcs'!G236))</f>
        <v/>
      </c>
      <c r="G240" s="30" t="str">
        <f>IF(OR(C239=1,C239=""),"",IF('Imperial Data'!$B$2,'Imperial Calcs'!F236,'Imperial Calcs'!J236))</f>
        <v/>
      </c>
      <c r="H240" s="30" t="str">
        <f>IF(OR(C239=1,C239=""),"",IF('Imperial Data'!$B$2,'Imperial Calcs'!G236,'Imperial Calcs'!M236))</f>
        <v/>
      </c>
      <c r="I240" s="30" t="str">
        <f>IF(C240="","",IF('Imperial Data'!$B$2,'Imperial Calcs'!J236,'Imperial Calcs'!Y236))</f>
        <v/>
      </c>
      <c r="J240" s="30" t="str">
        <f>IF('Imperial Data'!$B$2,'Imperial Calcs'!M236,"")</f>
        <v/>
      </c>
      <c r="K240" s="30"/>
      <c r="L240" s="37" t="str">
        <f>IF('Imperial Data'!$B$2,J240,H240)</f>
        <v/>
      </c>
      <c r="M240" s="112"/>
    </row>
    <row r="241" spans="1:13" x14ac:dyDescent="0.2">
      <c r="A241" s="32" t="str">
        <f t="shared" si="40"/>
        <v/>
      </c>
      <c r="C241" s="35" t="str">
        <f>IF(OR(C240=1,C240=""),"",'Imperial Calcs'!B237)</f>
        <v/>
      </c>
      <c r="D241" s="30" t="str">
        <f>IF(C241="","",'Imperial Calcs'!C237)</f>
        <v/>
      </c>
      <c r="E241" s="30" t="str">
        <f>IF(OR(C240=1,C240=""),"",IF('Imperial Data'!$B$2,'Imperial Calcs'!D237,'Imperial Calcs'!E237))</f>
        <v/>
      </c>
      <c r="F241" s="30" t="str">
        <f>IF(OR(C240=1,C240=""),"",IF('Imperial Data'!$B$2,'Imperial Calcs'!E237,'Imperial Calcs'!G237))</f>
        <v/>
      </c>
      <c r="G241" s="30" t="str">
        <f>IF(OR(C240=1,C240=""),"",IF('Imperial Data'!$B$2,'Imperial Calcs'!F237,'Imperial Calcs'!J237))</f>
        <v/>
      </c>
      <c r="H241" s="30" t="str">
        <f>IF(OR(C240=1,C240=""),"",IF('Imperial Data'!$B$2,'Imperial Calcs'!G237,'Imperial Calcs'!M237))</f>
        <v/>
      </c>
      <c r="I241" s="30" t="str">
        <f>IF(C241="","",IF('Imperial Data'!$B$2,'Imperial Calcs'!J237,'Imperial Calcs'!Y237))</f>
        <v/>
      </c>
      <c r="J241" s="30" t="str">
        <f>IF('Imperial Data'!$B$2,'Imperial Calcs'!M237,"")</f>
        <v/>
      </c>
      <c r="K241" s="30"/>
      <c r="L241" s="37" t="str">
        <f>IF('Imperial Data'!$B$2,J241,H241)</f>
        <v/>
      </c>
      <c r="M241" s="112"/>
    </row>
    <row r="242" spans="1:13" x14ac:dyDescent="0.2">
      <c r="A242" s="32" t="str">
        <f t="shared" si="40"/>
        <v/>
      </c>
      <c r="C242" s="35" t="str">
        <f>IF(OR(C241=1,C241=""),"",'Imperial Calcs'!B238)</f>
        <v/>
      </c>
      <c r="D242" s="30" t="str">
        <f>IF(C242="","",'Imperial Calcs'!C238)</f>
        <v/>
      </c>
      <c r="E242" s="30" t="str">
        <f>IF(OR(C241=1,C241=""),"",IF('Imperial Data'!$B$2,'Imperial Calcs'!D238,'Imperial Calcs'!E238))</f>
        <v/>
      </c>
      <c r="F242" s="30" t="str">
        <f>IF(OR(C241=1,C241=""),"",IF('Imperial Data'!$B$2,'Imperial Calcs'!E238,'Imperial Calcs'!G238))</f>
        <v/>
      </c>
      <c r="G242" s="30" t="str">
        <f>IF(OR(C241=1,C241=""),"",IF('Imperial Data'!$B$2,'Imperial Calcs'!F238,'Imperial Calcs'!J238))</f>
        <v/>
      </c>
      <c r="H242" s="30" t="str">
        <f>IF(OR(C241=1,C241=""),"",IF('Imperial Data'!$B$2,'Imperial Calcs'!G238,'Imperial Calcs'!M238))</f>
        <v/>
      </c>
      <c r="I242" s="30" t="str">
        <f>IF(C242="","",IF('Imperial Data'!$B$2,'Imperial Calcs'!J238,'Imperial Calcs'!Y238))</f>
        <v/>
      </c>
      <c r="J242" s="30" t="str">
        <f>IF('Imperial Data'!$B$2,'Imperial Calcs'!M238,"")</f>
        <v/>
      </c>
      <c r="K242" s="30"/>
      <c r="L242" s="37" t="str">
        <f>IF('Imperial Data'!$B$2,J242,H242)</f>
        <v/>
      </c>
      <c r="M242" s="112"/>
    </row>
    <row r="243" spans="1:13" x14ac:dyDescent="0.2">
      <c r="A243" s="32" t="str">
        <f t="shared" si="40"/>
        <v/>
      </c>
      <c r="C243" s="35" t="str">
        <f>IF(OR(C242=1,C242=""),"",'Imperial Calcs'!B239)</f>
        <v/>
      </c>
      <c r="D243" s="30" t="str">
        <f>IF(C243="","",'Imperial Calcs'!C239)</f>
        <v/>
      </c>
      <c r="E243" s="30" t="str">
        <f>IF(OR(C242=1,C242=""),"",IF('Imperial Data'!$B$2,'Imperial Calcs'!D239,'Imperial Calcs'!E239))</f>
        <v/>
      </c>
      <c r="F243" s="30" t="str">
        <f>IF(OR(C242=1,C242=""),"",IF('Imperial Data'!$B$2,'Imperial Calcs'!E239,'Imperial Calcs'!G239))</f>
        <v/>
      </c>
      <c r="G243" s="30" t="str">
        <f>IF(OR(C242=1,C242=""),"",IF('Imperial Data'!$B$2,'Imperial Calcs'!F239,'Imperial Calcs'!J239))</f>
        <v/>
      </c>
      <c r="H243" s="30" t="str">
        <f>IF(OR(C242=1,C242=""),"",IF('Imperial Data'!$B$2,'Imperial Calcs'!G239,'Imperial Calcs'!M239))</f>
        <v/>
      </c>
      <c r="I243" s="30" t="str">
        <f>IF(C243="","",IF('Imperial Data'!$B$2,'Imperial Calcs'!J239,'Imperial Calcs'!Y239))</f>
        <v/>
      </c>
      <c r="J243" s="30" t="str">
        <f>IF('Imperial Data'!$B$2,'Imperial Calcs'!M239,"")</f>
        <v/>
      </c>
      <c r="K243" s="30"/>
      <c r="L243" s="37" t="str">
        <f>IF('Imperial Data'!$B$2,J243,H243)</f>
        <v/>
      </c>
      <c r="M243" s="112"/>
    </row>
    <row r="244" spans="1:13" x14ac:dyDescent="0.2">
      <c r="A244" s="32" t="str">
        <f t="shared" si="40"/>
        <v/>
      </c>
      <c r="C244" s="35" t="str">
        <f>IF(OR(C243=1,C243=""),"",'Imperial Calcs'!B240)</f>
        <v/>
      </c>
      <c r="D244" s="30" t="str">
        <f>IF(C244="","",'Imperial Calcs'!C240)</f>
        <v/>
      </c>
      <c r="E244" s="30" t="str">
        <f>IF(OR(C243=1,C243=""),"",IF('Imperial Data'!$B$2,'Imperial Calcs'!D240,'Imperial Calcs'!E240))</f>
        <v/>
      </c>
      <c r="F244" s="30" t="str">
        <f>IF(OR(C243=1,C243=""),"",IF('Imperial Data'!$B$2,'Imperial Calcs'!E240,'Imperial Calcs'!G240))</f>
        <v/>
      </c>
      <c r="G244" s="30" t="str">
        <f>IF(OR(C243=1,C243=""),"",IF('Imperial Data'!$B$2,'Imperial Calcs'!F240,'Imperial Calcs'!J240))</f>
        <v/>
      </c>
      <c r="H244" s="30" t="str">
        <f>IF(OR(C243=1,C243=""),"",IF('Imperial Data'!$B$2,'Imperial Calcs'!G240,'Imperial Calcs'!M240))</f>
        <v/>
      </c>
      <c r="I244" s="30" t="str">
        <f>IF(C244="","",IF('Imperial Data'!$B$2,'Imperial Calcs'!J240,'Imperial Calcs'!Y240))</f>
        <v/>
      </c>
      <c r="J244" s="30" t="str">
        <f>IF('Imperial Data'!$B$2,'Imperial Calcs'!M240,"")</f>
        <v/>
      </c>
      <c r="K244" s="30"/>
      <c r="L244" s="37" t="str">
        <f>IF('Imperial Data'!$B$2,J244,H244)</f>
        <v/>
      </c>
      <c r="M244" s="112"/>
    </row>
    <row r="245" spans="1:13" x14ac:dyDescent="0.2">
      <c r="A245" s="32" t="str">
        <f t="shared" si="40"/>
        <v/>
      </c>
      <c r="C245" s="35" t="str">
        <f>IF(OR(C244=1,C244=""),"",'Imperial Calcs'!B241)</f>
        <v/>
      </c>
      <c r="D245" s="30" t="str">
        <f>IF(C245="","",'Imperial Calcs'!C241)</f>
        <v/>
      </c>
      <c r="E245" s="30" t="str">
        <f>IF(OR(C244=1,C244=""),"",IF('Imperial Data'!$B$2,'Imperial Calcs'!D241,'Imperial Calcs'!E241))</f>
        <v/>
      </c>
      <c r="F245" s="30" t="str">
        <f>IF(OR(C244=1,C244=""),"",IF('Imperial Data'!$B$2,'Imperial Calcs'!E241,'Imperial Calcs'!G241))</f>
        <v/>
      </c>
      <c r="G245" s="30" t="str">
        <f>IF(OR(C244=1,C244=""),"",IF('Imperial Data'!$B$2,'Imperial Calcs'!F241,'Imperial Calcs'!J241))</f>
        <v/>
      </c>
      <c r="H245" s="30" t="str">
        <f>IF(OR(C244=1,C244=""),"",IF('Imperial Data'!$B$2,'Imperial Calcs'!G241,'Imperial Calcs'!M241))</f>
        <v/>
      </c>
      <c r="I245" s="30" t="str">
        <f>IF(C245="","",IF('Imperial Data'!$B$2,'Imperial Calcs'!J241,'Imperial Calcs'!Y241))</f>
        <v/>
      </c>
      <c r="J245" s="30" t="str">
        <f>IF('Imperial Data'!$B$2,'Imperial Calcs'!M241,"")</f>
        <v/>
      </c>
      <c r="K245" s="30"/>
      <c r="L245" s="37" t="str">
        <f>IF('Imperial Data'!$B$2,J245,H245)</f>
        <v/>
      </c>
      <c r="M245" s="112"/>
    </row>
    <row r="246" spans="1:13" x14ac:dyDescent="0.2">
      <c r="A246" s="32" t="str">
        <f t="shared" si="40"/>
        <v/>
      </c>
      <c r="C246" s="35" t="str">
        <f>IF(OR(C245=1,C245=""),"",'Imperial Calcs'!B242)</f>
        <v/>
      </c>
      <c r="D246" s="30" t="str">
        <f>IF(C246="","",'Imperial Calcs'!C242)</f>
        <v/>
      </c>
      <c r="E246" s="30" t="str">
        <f>IF(OR(C245=1,C245=""),"",IF('Imperial Data'!$B$2,'Imperial Calcs'!D242,'Imperial Calcs'!E242))</f>
        <v/>
      </c>
      <c r="F246" s="30" t="str">
        <f>IF(OR(C245=1,C245=""),"",IF('Imperial Data'!$B$2,'Imperial Calcs'!E242,'Imperial Calcs'!G242))</f>
        <v/>
      </c>
      <c r="G246" s="30" t="str">
        <f>IF(OR(C245=1,C245=""),"",IF('Imperial Data'!$B$2,'Imperial Calcs'!F242,'Imperial Calcs'!J242))</f>
        <v/>
      </c>
      <c r="H246" s="30" t="str">
        <f>IF(OR(C245=1,C245=""),"",IF('Imperial Data'!$B$2,'Imperial Calcs'!G242,'Imperial Calcs'!M242))</f>
        <v/>
      </c>
      <c r="I246" s="30" t="str">
        <f>IF(C246="","",IF('Imperial Data'!$B$2,'Imperial Calcs'!J242,'Imperial Calcs'!Y242))</f>
        <v/>
      </c>
      <c r="J246" s="30" t="str">
        <f>IF('Imperial Data'!$B$2,'Imperial Calcs'!M242,"")</f>
        <v/>
      </c>
      <c r="K246" s="30"/>
      <c r="L246" s="37" t="str">
        <f>IF('Imperial Data'!$B$2,J246,H246)</f>
        <v/>
      </c>
      <c r="M246" s="112"/>
    </row>
    <row r="247" spans="1:13" x14ac:dyDescent="0.2">
      <c r="A247" s="32" t="str">
        <f t="shared" si="40"/>
        <v/>
      </c>
      <c r="C247" s="35" t="str">
        <f>IF(OR(C246=1,C246=""),"",'Imperial Calcs'!B243)</f>
        <v/>
      </c>
      <c r="D247" s="30" t="str">
        <f>IF(C247="","",'Imperial Calcs'!C243)</f>
        <v/>
      </c>
      <c r="E247" s="30" t="str">
        <f>IF(OR(C246=1,C246=""),"",IF('Imperial Data'!$B$2,'Imperial Calcs'!D243,'Imperial Calcs'!E243))</f>
        <v/>
      </c>
      <c r="F247" s="30" t="str">
        <f>IF(OR(C246=1,C246=""),"",IF('Imperial Data'!$B$2,'Imperial Calcs'!E243,'Imperial Calcs'!G243))</f>
        <v/>
      </c>
      <c r="G247" s="30" t="str">
        <f>IF(OR(C246=1,C246=""),"",IF('Imperial Data'!$B$2,'Imperial Calcs'!F243,'Imperial Calcs'!J243))</f>
        <v/>
      </c>
      <c r="H247" s="30" t="str">
        <f>IF(OR(C246=1,C246=""),"",IF('Imperial Data'!$B$2,'Imperial Calcs'!G243,'Imperial Calcs'!M243))</f>
        <v/>
      </c>
      <c r="I247" s="30" t="str">
        <f>IF(C247="","",IF('Imperial Data'!$B$2,'Imperial Calcs'!J243,'Imperial Calcs'!Y243))</f>
        <v/>
      </c>
      <c r="J247" s="30" t="str">
        <f>IF('Imperial Data'!$B$2,'Imperial Calcs'!M243,"")</f>
        <v/>
      </c>
      <c r="K247" s="30"/>
      <c r="L247" s="37" t="str">
        <f>IF('Imperial Data'!$B$2,J247,H247)</f>
        <v/>
      </c>
      <c r="M247" s="112"/>
    </row>
    <row r="248" spans="1:13" x14ac:dyDescent="0.2">
      <c r="A248" s="32" t="str">
        <f t="shared" si="40"/>
        <v/>
      </c>
      <c r="C248" s="35" t="str">
        <f>IF(OR(C247=1,C247=""),"",'Imperial Calcs'!B244)</f>
        <v/>
      </c>
      <c r="D248" s="30" t="str">
        <f>IF(C248="","",'Imperial Calcs'!C244)</f>
        <v/>
      </c>
      <c r="E248" s="30" t="str">
        <f>IF(OR(C247=1,C247=""),"",IF('Imperial Data'!$B$2,'Imperial Calcs'!D244,'Imperial Calcs'!E244))</f>
        <v/>
      </c>
      <c r="F248" s="30" t="str">
        <f>IF(OR(C247=1,C247=""),"",IF('Imperial Data'!$B$2,'Imperial Calcs'!E244,'Imperial Calcs'!G244))</f>
        <v/>
      </c>
      <c r="G248" s="30" t="str">
        <f>IF(OR(C247=1,C247=""),"",IF('Imperial Data'!$B$2,'Imperial Calcs'!F244,'Imperial Calcs'!J244))</f>
        <v/>
      </c>
      <c r="H248" s="30" t="str">
        <f>IF(OR(C247=1,C247=""),"",IF('Imperial Data'!$B$2,'Imperial Calcs'!G244,'Imperial Calcs'!M244))</f>
        <v/>
      </c>
      <c r="I248" s="30" t="str">
        <f>IF(C248="","",IF('Imperial Data'!$B$2,'Imperial Calcs'!J244,'Imperial Calcs'!Y244))</f>
        <v/>
      </c>
      <c r="J248" s="30" t="str">
        <f>IF('Imperial Data'!$B$2,'Imperial Calcs'!M244,"")</f>
        <v/>
      </c>
      <c r="K248" s="30"/>
      <c r="L248" s="37" t="str">
        <f>IF('Imperial Data'!$B$2,J248,H248)</f>
        <v/>
      </c>
      <c r="M248" s="112"/>
    </row>
    <row r="249" spans="1:13" x14ac:dyDescent="0.2">
      <c r="A249" s="32" t="str">
        <f t="shared" si="40"/>
        <v/>
      </c>
      <c r="C249" s="35" t="str">
        <f>IF(OR(C248=1,C248=""),"",'Imperial Calcs'!B245)</f>
        <v/>
      </c>
      <c r="D249" s="30" t="str">
        <f>IF(C249="","",'Imperial Calcs'!C245)</f>
        <v/>
      </c>
      <c r="E249" s="30" t="str">
        <f>IF(OR(C248=1,C248=""),"",IF('Imperial Data'!$B$2,'Imperial Calcs'!D245,'Imperial Calcs'!E245))</f>
        <v/>
      </c>
      <c r="F249" s="30" t="str">
        <f>IF(OR(C248=1,C248=""),"",IF('Imperial Data'!$B$2,'Imperial Calcs'!E245,'Imperial Calcs'!G245))</f>
        <v/>
      </c>
      <c r="G249" s="30" t="str">
        <f>IF(OR(C248=1,C248=""),"",IF('Imperial Data'!$B$2,'Imperial Calcs'!F245,'Imperial Calcs'!J245))</f>
        <v/>
      </c>
      <c r="H249" s="30" t="str">
        <f>IF(OR(C248=1,C248=""),"",IF('Imperial Data'!$B$2,'Imperial Calcs'!G245,'Imperial Calcs'!M245))</f>
        <v/>
      </c>
      <c r="I249" s="30" t="str">
        <f>IF(C249="","",IF('Imperial Data'!$B$2,'Imperial Calcs'!J245,'Imperial Calcs'!Y245))</f>
        <v/>
      </c>
      <c r="J249" s="30" t="str">
        <f>IF('Imperial Data'!$B$2,'Imperial Calcs'!M245,"")</f>
        <v/>
      </c>
      <c r="K249" s="30"/>
      <c r="L249" s="37" t="str">
        <f>IF('Imperial Data'!$B$2,J249,H249)</f>
        <v/>
      </c>
      <c r="M249" s="112"/>
    </row>
    <row r="250" spans="1:13" x14ac:dyDescent="0.2">
      <c r="A250" s="32" t="str">
        <f t="shared" si="40"/>
        <v/>
      </c>
      <c r="C250" s="35" t="str">
        <f>IF(OR(C249=1,C249=""),"",'Imperial Calcs'!B246)</f>
        <v/>
      </c>
      <c r="D250" s="30" t="str">
        <f>IF(C250="","",'Imperial Calcs'!C246)</f>
        <v/>
      </c>
      <c r="E250" s="30" t="str">
        <f>IF(OR(C249=1,C249=""),"",IF('Imperial Data'!$B$2,'Imperial Calcs'!D246,'Imperial Calcs'!E246))</f>
        <v/>
      </c>
      <c r="F250" s="30" t="str">
        <f>IF(OR(C249=1,C249=""),"",IF('Imperial Data'!$B$2,'Imperial Calcs'!E246,'Imperial Calcs'!G246))</f>
        <v/>
      </c>
      <c r="G250" s="30" t="str">
        <f>IF(OR(C249=1,C249=""),"",IF('Imperial Data'!$B$2,'Imperial Calcs'!F246,'Imperial Calcs'!J246))</f>
        <v/>
      </c>
      <c r="H250" s="30" t="str">
        <f>IF(OR(C249=1,C249=""),"",IF('Imperial Data'!$B$2,'Imperial Calcs'!G246,'Imperial Calcs'!M246))</f>
        <v/>
      </c>
      <c r="I250" s="30" t="str">
        <f>IF(C250="","",IF('Imperial Data'!$B$2,'Imperial Calcs'!J246,'Imperial Calcs'!Y246))</f>
        <v/>
      </c>
      <c r="J250" s="30" t="str">
        <f>IF('Imperial Data'!$B$2,'Imperial Calcs'!M246,"")</f>
        <v/>
      </c>
      <c r="K250" s="30"/>
      <c r="L250" s="37" t="str">
        <f>IF('Imperial Data'!$B$2,J250,H250)</f>
        <v/>
      </c>
      <c r="M250" s="112"/>
    </row>
    <row r="251" spans="1:13" x14ac:dyDescent="0.2">
      <c r="A251" s="32" t="str">
        <f t="shared" si="40"/>
        <v/>
      </c>
      <c r="C251" s="35" t="str">
        <f>IF(OR(C250=1,C250=""),"",'Imperial Calcs'!B247)</f>
        <v/>
      </c>
      <c r="D251" s="30" t="str">
        <f>IF(C251="","",'Imperial Calcs'!C247)</f>
        <v/>
      </c>
      <c r="E251" s="30" t="str">
        <f>IF(OR(C250=1,C250=""),"",IF('Imperial Data'!$B$2,'Imperial Calcs'!D247,'Imperial Calcs'!E247))</f>
        <v/>
      </c>
      <c r="F251" s="30" t="str">
        <f>IF(OR(C250=1,C250=""),"",IF('Imperial Data'!$B$2,'Imperial Calcs'!E247,'Imperial Calcs'!G247))</f>
        <v/>
      </c>
      <c r="G251" s="30" t="str">
        <f>IF(OR(C250=1,C250=""),"",IF('Imperial Data'!$B$2,'Imperial Calcs'!F247,'Imperial Calcs'!J247))</f>
        <v/>
      </c>
      <c r="H251" s="30" t="str">
        <f>IF(OR(C250=1,C250=""),"",IF('Imperial Data'!$B$2,'Imperial Calcs'!G247,'Imperial Calcs'!M247))</f>
        <v/>
      </c>
      <c r="I251" s="30" t="str">
        <f>IF(C251="","",IF('Imperial Data'!$B$2,'Imperial Calcs'!J247,'Imperial Calcs'!Y247))</f>
        <v/>
      </c>
      <c r="J251" s="30" t="str">
        <f>IF('Imperial Data'!$B$2,'Imperial Calcs'!M247,"")</f>
        <v/>
      </c>
      <c r="K251" s="30"/>
      <c r="L251" s="37" t="str">
        <f>IF('Imperial Data'!$B$2,J251,H251)</f>
        <v/>
      </c>
      <c r="M251" s="112"/>
    </row>
    <row r="252" spans="1:13" x14ac:dyDescent="0.2">
      <c r="A252" s="32" t="str">
        <f t="shared" si="40"/>
        <v/>
      </c>
      <c r="C252" s="35" t="str">
        <f>IF(OR(C251=1,C251=""),"",'Imperial Calcs'!B248)</f>
        <v/>
      </c>
      <c r="D252" s="30" t="str">
        <f>IF(C252="","",'Imperial Calcs'!C248)</f>
        <v/>
      </c>
      <c r="E252" s="30" t="str">
        <f>IF(OR(C251=1,C251=""),"",IF('Imperial Data'!$B$2,'Imperial Calcs'!D248,'Imperial Calcs'!E248))</f>
        <v/>
      </c>
      <c r="F252" s="30" t="str">
        <f>IF(OR(C251=1,C251=""),"",IF('Imperial Data'!$B$2,'Imperial Calcs'!E248,'Imperial Calcs'!G248))</f>
        <v/>
      </c>
      <c r="G252" s="30" t="str">
        <f>IF(OR(C251=1,C251=""),"",IF('Imperial Data'!$B$2,'Imperial Calcs'!F248,'Imperial Calcs'!J248))</f>
        <v/>
      </c>
      <c r="H252" s="30" t="str">
        <f>IF(OR(C251=1,C251=""),"",IF('Imperial Data'!$B$2,'Imperial Calcs'!G248,'Imperial Calcs'!M248))</f>
        <v/>
      </c>
      <c r="I252" s="30" t="str">
        <f>IF(C252="","",IF('Imperial Data'!$B$2,'Imperial Calcs'!J248,'Imperial Calcs'!Y248))</f>
        <v/>
      </c>
      <c r="J252" s="30" t="str">
        <f>IF('Imperial Data'!$B$2,'Imperial Calcs'!M248,"")</f>
        <v/>
      </c>
      <c r="K252" s="30"/>
      <c r="L252" s="37" t="str">
        <f>IF('Imperial Data'!$B$2,J252,H252)</f>
        <v/>
      </c>
      <c r="M252" s="112"/>
    </row>
    <row r="253" spans="1:13" x14ac:dyDescent="0.2">
      <c r="A253" s="32" t="str">
        <f t="shared" si="40"/>
        <v/>
      </c>
      <c r="C253" s="35" t="str">
        <f>IF(OR(C252=1,C252=""),"",'Imperial Calcs'!B249)</f>
        <v/>
      </c>
      <c r="D253" s="30" t="str">
        <f>IF(C253="","",'Imperial Calcs'!C249)</f>
        <v/>
      </c>
      <c r="E253" s="30" t="str">
        <f>IF(OR(C252=1,C252=""),"",IF('Imperial Data'!$B$2,'Imperial Calcs'!D249,'Imperial Calcs'!E249))</f>
        <v/>
      </c>
      <c r="F253" s="30" t="str">
        <f>IF(OR(C252=1,C252=""),"",IF('Imperial Data'!$B$2,'Imperial Calcs'!E249,'Imperial Calcs'!G249))</f>
        <v/>
      </c>
      <c r="G253" s="30" t="str">
        <f>IF(OR(C252=1,C252=""),"",IF('Imperial Data'!$B$2,'Imperial Calcs'!F249,'Imperial Calcs'!J249))</f>
        <v/>
      </c>
      <c r="H253" s="30" t="str">
        <f>IF(OR(C252=1,C252=""),"",IF('Imperial Data'!$B$2,'Imperial Calcs'!G249,'Imperial Calcs'!M249))</f>
        <v/>
      </c>
      <c r="I253" s="30" t="str">
        <f>IF(C253="","",IF('Imperial Data'!$B$2,'Imperial Calcs'!J249,'Imperial Calcs'!Y249))</f>
        <v/>
      </c>
      <c r="J253" s="30" t="str">
        <f>IF('Imperial Data'!$B$2,'Imperial Calcs'!M249,"")</f>
        <v/>
      </c>
      <c r="K253" s="30"/>
      <c r="L253" s="37" t="str">
        <f>IF('Imperial Data'!$B$2,J253,H253)</f>
        <v/>
      </c>
      <c r="M253" s="112"/>
    </row>
    <row r="254" spans="1:13" x14ac:dyDescent="0.2">
      <c r="A254" s="32" t="str">
        <f t="shared" si="40"/>
        <v/>
      </c>
      <c r="C254" s="35" t="str">
        <f>IF(OR(C253=1,C253=""),"",'Imperial Calcs'!B250)</f>
        <v/>
      </c>
      <c r="D254" s="30" t="str">
        <f>IF(C254="","",'Imperial Calcs'!C250)</f>
        <v/>
      </c>
      <c r="E254" s="30" t="str">
        <f>IF(OR(C253=1,C253=""),"",IF('Imperial Data'!$B$2,'Imperial Calcs'!D250,'Imperial Calcs'!E250))</f>
        <v/>
      </c>
      <c r="F254" s="30" t="str">
        <f>IF(OR(C253=1,C253=""),"",IF('Imperial Data'!$B$2,'Imperial Calcs'!E250,'Imperial Calcs'!G250))</f>
        <v/>
      </c>
      <c r="G254" s="30" t="str">
        <f>IF(OR(C253=1,C253=""),"",IF('Imperial Data'!$B$2,'Imperial Calcs'!F250,'Imperial Calcs'!J250))</f>
        <v/>
      </c>
      <c r="H254" s="30" t="str">
        <f>IF(OR(C253=1,C253=""),"",IF('Imperial Data'!$B$2,'Imperial Calcs'!G250,'Imperial Calcs'!M250))</f>
        <v/>
      </c>
      <c r="I254" s="30" t="str">
        <f>IF(C254="","",IF('Imperial Data'!$B$2,'Imperial Calcs'!J250,'Imperial Calcs'!Y250))</f>
        <v/>
      </c>
      <c r="J254" s="30" t="str">
        <f>IF('Imperial Data'!$B$2,'Imperial Calcs'!M250,"")</f>
        <v/>
      </c>
      <c r="K254" s="30"/>
      <c r="L254" s="37" t="str">
        <f>IF('Imperial Data'!$B$2,J254,H254)</f>
        <v/>
      </c>
      <c r="M254" s="112"/>
    </row>
    <row r="255" spans="1:13" x14ac:dyDescent="0.2">
      <c r="A255" s="32" t="str">
        <f t="shared" si="40"/>
        <v/>
      </c>
      <c r="C255" s="35" t="str">
        <f>IF(OR(C254=1,C254=""),"",'Imperial Calcs'!B251)</f>
        <v/>
      </c>
      <c r="D255" s="30" t="str">
        <f>IF(C255="","",'Imperial Calcs'!C251)</f>
        <v/>
      </c>
      <c r="E255" s="30" t="str">
        <f>IF(OR(C254=1,C254=""),"",IF('Imperial Data'!$B$2,'Imperial Calcs'!D251,'Imperial Calcs'!E251))</f>
        <v/>
      </c>
      <c r="F255" s="30" t="str">
        <f>IF(OR(C254=1,C254=""),"",IF('Imperial Data'!$B$2,'Imperial Calcs'!E251,'Imperial Calcs'!G251))</f>
        <v/>
      </c>
      <c r="G255" s="30" t="str">
        <f>IF(OR(C254=1,C254=""),"",IF('Imperial Data'!$B$2,'Imperial Calcs'!F251,'Imperial Calcs'!J251))</f>
        <v/>
      </c>
      <c r="H255" s="30" t="str">
        <f>IF(OR(C254=1,C254=""),"",IF('Imperial Data'!$B$2,'Imperial Calcs'!G251,'Imperial Calcs'!M251))</f>
        <v/>
      </c>
      <c r="I255" s="30" t="str">
        <f>IF(C255="","",IF('Imperial Data'!$B$2,'Imperial Calcs'!J251,'Imperial Calcs'!Y251))</f>
        <v/>
      </c>
      <c r="J255" s="30" t="str">
        <f>IF('Imperial Data'!$B$2,'Imperial Calcs'!M251,"")</f>
        <v/>
      </c>
      <c r="K255" s="30"/>
      <c r="L255" s="37" t="str">
        <f>IF('Imperial Data'!$B$2,J255,H255)</f>
        <v/>
      </c>
      <c r="M255" s="112"/>
    </row>
    <row r="256" spans="1:13" x14ac:dyDescent="0.2">
      <c r="A256" s="32" t="str">
        <f t="shared" si="40"/>
        <v/>
      </c>
      <c r="C256" s="35" t="str">
        <f>IF(OR(C255=1,C255=""),"",'Imperial Calcs'!B252)</f>
        <v/>
      </c>
      <c r="D256" s="30" t="str">
        <f>IF(C256="","",'Imperial Calcs'!C252)</f>
        <v/>
      </c>
      <c r="E256" s="30" t="str">
        <f>IF(OR(C255=1,C255=""),"",IF('Imperial Data'!$B$2,'Imperial Calcs'!D252,'Imperial Calcs'!E252))</f>
        <v/>
      </c>
      <c r="F256" s="30" t="str">
        <f>IF(OR(C255=1,C255=""),"",IF('Imperial Data'!$B$2,'Imperial Calcs'!E252,'Imperial Calcs'!G252))</f>
        <v/>
      </c>
      <c r="G256" s="30" t="str">
        <f>IF(OR(C255=1,C255=""),"",IF('Imperial Data'!$B$2,'Imperial Calcs'!F252,'Imperial Calcs'!J252))</f>
        <v/>
      </c>
      <c r="H256" s="30" t="str">
        <f>IF(OR(C255=1,C255=""),"",IF('Imperial Data'!$B$2,'Imperial Calcs'!G252,'Imperial Calcs'!M252))</f>
        <v/>
      </c>
      <c r="I256" s="30" t="str">
        <f>IF(C256="","",IF('Imperial Data'!$B$2,'Imperial Calcs'!J252,'Imperial Calcs'!Y252))</f>
        <v/>
      </c>
      <c r="J256" s="30" t="str">
        <f>IF('Imperial Data'!$B$2,'Imperial Calcs'!M252,"")</f>
        <v/>
      </c>
      <c r="K256" s="30"/>
      <c r="L256" s="37" t="str">
        <f>IF('Imperial Data'!$B$2,J256,H256)</f>
        <v/>
      </c>
      <c r="M256" s="112"/>
    </row>
    <row r="257" spans="1:13" x14ac:dyDescent="0.2">
      <c r="A257" s="32" t="str">
        <f t="shared" si="40"/>
        <v/>
      </c>
      <c r="C257" s="35" t="str">
        <f>IF(OR(C256=1,C256=""),"",'Imperial Calcs'!B253)</f>
        <v/>
      </c>
      <c r="D257" s="30" t="str">
        <f>IF(C257="","",'Imperial Calcs'!C253)</f>
        <v/>
      </c>
      <c r="E257" s="30" t="str">
        <f>IF(OR(C256=1,C256=""),"",IF('Imperial Data'!$B$2,'Imperial Calcs'!D253,'Imperial Calcs'!E253))</f>
        <v/>
      </c>
      <c r="F257" s="30" t="str">
        <f>IF(OR(C256=1,C256=""),"",IF('Imperial Data'!$B$2,'Imperial Calcs'!E253,'Imperial Calcs'!G253))</f>
        <v/>
      </c>
      <c r="G257" s="30" t="str">
        <f>IF(OR(C256=1,C256=""),"",IF('Imperial Data'!$B$2,'Imperial Calcs'!F253,'Imperial Calcs'!J253))</f>
        <v/>
      </c>
      <c r="H257" s="30" t="str">
        <f>IF(OR(C256=1,C256=""),"",IF('Imperial Data'!$B$2,'Imperial Calcs'!G253,'Imperial Calcs'!M253))</f>
        <v/>
      </c>
      <c r="I257" s="30" t="str">
        <f>IF(C257="","",IF('Imperial Data'!$B$2,'Imperial Calcs'!J253,'Imperial Calcs'!Y253))</f>
        <v/>
      </c>
      <c r="J257" s="30" t="str">
        <f>IF('Imperial Data'!$B$2,'Imperial Calcs'!M253,"")</f>
        <v/>
      </c>
      <c r="K257" s="30"/>
      <c r="L257" s="37" t="str">
        <f>IF('Imperial Data'!$B$2,J257,H257)</f>
        <v/>
      </c>
      <c r="M257" s="112"/>
    </row>
    <row r="258" spans="1:13" x14ac:dyDescent="0.2">
      <c r="A258" s="32" t="str">
        <f t="shared" si="40"/>
        <v/>
      </c>
      <c r="C258" s="35" t="str">
        <f>IF(OR(C257=1,C257=""),"",'Imperial Calcs'!B254)</f>
        <v/>
      </c>
      <c r="D258" s="30" t="str">
        <f>IF(C258="","",'Imperial Calcs'!C254)</f>
        <v/>
      </c>
      <c r="E258" s="30" t="str">
        <f>IF(OR(C257=1,C257=""),"",IF('Imperial Data'!$B$2,'Imperial Calcs'!D254,'Imperial Calcs'!E254))</f>
        <v/>
      </c>
      <c r="F258" s="30" t="str">
        <f>IF(OR(C257=1,C257=""),"",IF('Imperial Data'!$B$2,'Imperial Calcs'!E254,'Imperial Calcs'!G254))</f>
        <v/>
      </c>
      <c r="G258" s="30" t="str">
        <f>IF(OR(C257=1,C257=""),"",IF('Imperial Data'!$B$2,'Imperial Calcs'!F254,'Imperial Calcs'!J254))</f>
        <v/>
      </c>
      <c r="H258" s="30" t="str">
        <f>IF(OR(C257=1,C257=""),"",IF('Imperial Data'!$B$2,'Imperial Calcs'!G254,'Imperial Calcs'!M254))</f>
        <v/>
      </c>
      <c r="I258" s="30" t="str">
        <f>IF(C258="","",IF('Imperial Data'!$B$2,'Imperial Calcs'!J254,'Imperial Calcs'!Y254))</f>
        <v/>
      </c>
      <c r="J258" s="30" t="str">
        <f>IF('Imperial Data'!$B$2,'Imperial Calcs'!M254,"")</f>
        <v/>
      </c>
      <c r="K258" s="30"/>
      <c r="L258" s="37" t="str">
        <f>IF('Imperial Data'!$B$2,J258,H258)</f>
        <v/>
      </c>
      <c r="M258" s="112"/>
    </row>
    <row r="259" spans="1:13" x14ac:dyDescent="0.2">
      <c r="A259" s="32" t="str">
        <f t="shared" si="40"/>
        <v/>
      </c>
      <c r="C259" s="35" t="str">
        <f>IF(OR(C258=1,C258=""),"",'Imperial Calcs'!B255)</f>
        <v/>
      </c>
      <c r="D259" s="30" t="str">
        <f>IF(C259="","",'Imperial Calcs'!C255)</f>
        <v/>
      </c>
      <c r="E259" s="30" t="str">
        <f>IF(OR(C258=1,C258=""),"",IF('Imperial Data'!$B$2,'Imperial Calcs'!D255,'Imperial Calcs'!E255))</f>
        <v/>
      </c>
      <c r="F259" s="30" t="str">
        <f>IF(OR(C258=1,C258=""),"",IF('Imperial Data'!$B$2,'Imperial Calcs'!E255,'Imperial Calcs'!G255))</f>
        <v/>
      </c>
      <c r="G259" s="30" t="str">
        <f>IF(OR(C258=1,C258=""),"",IF('Imperial Data'!$B$2,'Imperial Calcs'!F255,'Imperial Calcs'!J255))</f>
        <v/>
      </c>
      <c r="H259" s="30" t="str">
        <f>IF(OR(C258=1,C258=""),"",IF('Imperial Data'!$B$2,'Imperial Calcs'!G255,'Imperial Calcs'!M255))</f>
        <v/>
      </c>
      <c r="I259" s="30" t="str">
        <f>IF(C259="","",IF('Imperial Data'!$B$2,'Imperial Calcs'!J255,'Imperial Calcs'!Y255))</f>
        <v/>
      </c>
      <c r="J259" s="30" t="str">
        <f>IF('Imperial Data'!$B$2,'Imperial Calcs'!M255,"")</f>
        <v/>
      </c>
      <c r="K259" s="30"/>
      <c r="L259" s="37" t="str">
        <f>IF('Imperial Data'!$B$2,J259,H259)</f>
        <v/>
      </c>
      <c r="M259" s="112"/>
    </row>
    <row r="260" spans="1:13" x14ac:dyDescent="0.2">
      <c r="A260" s="32" t="str">
        <f t="shared" si="40"/>
        <v/>
      </c>
      <c r="C260" s="35" t="str">
        <f>IF(OR(C259=1,C259=""),"",'Imperial Calcs'!B256)</f>
        <v/>
      </c>
      <c r="D260" s="30" t="str">
        <f>IF(C260="","",'Imperial Calcs'!C256)</f>
        <v/>
      </c>
      <c r="E260" s="30" t="str">
        <f>IF(OR(C259=1,C259=""),"",IF('Imperial Data'!$B$2,'Imperial Calcs'!D256,'Imperial Calcs'!E256))</f>
        <v/>
      </c>
      <c r="F260" s="30" t="str">
        <f>IF(OR(C259=1,C259=""),"",IF('Imperial Data'!$B$2,'Imperial Calcs'!E256,'Imperial Calcs'!G256))</f>
        <v/>
      </c>
      <c r="G260" s="30" t="str">
        <f>IF(OR(C259=1,C259=""),"",IF('Imperial Data'!$B$2,'Imperial Calcs'!F256,'Imperial Calcs'!J256))</f>
        <v/>
      </c>
      <c r="H260" s="30" t="str">
        <f>IF(OR(C259=1,C259=""),"",IF('Imperial Data'!$B$2,'Imperial Calcs'!G256,'Imperial Calcs'!M256))</f>
        <v/>
      </c>
      <c r="I260" s="30" t="str">
        <f>IF(C260="","",IF('Imperial Data'!$B$2,'Imperial Calcs'!J256,'Imperial Calcs'!Y256))</f>
        <v/>
      </c>
      <c r="J260" s="30" t="str">
        <f>IF('Imperial Data'!$B$2,'Imperial Calcs'!M256,"")</f>
        <v/>
      </c>
      <c r="K260" s="30"/>
      <c r="L260" s="37" t="str">
        <f>IF('Imperial Data'!$B$2,J260,H260)</f>
        <v/>
      </c>
      <c r="M260" s="112"/>
    </row>
    <row r="261" spans="1:13" x14ac:dyDescent="0.2">
      <c r="A261" s="32" t="str">
        <f t="shared" si="40"/>
        <v/>
      </c>
      <c r="C261" s="35" t="str">
        <f>IF(OR(C260=1,C260=""),"",'Imperial Calcs'!B257)</f>
        <v/>
      </c>
      <c r="D261" s="30" t="str">
        <f>IF(C261="","",'Imperial Calcs'!C257)</f>
        <v/>
      </c>
      <c r="E261" s="30" t="str">
        <f>IF(OR(C260=1,C260=""),"",IF('Imperial Data'!$B$2,'Imperial Calcs'!D257,'Imperial Calcs'!E257))</f>
        <v/>
      </c>
      <c r="F261" s="30" t="str">
        <f>IF(OR(C260=1,C260=""),"",IF('Imperial Data'!$B$2,'Imperial Calcs'!E257,'Imperial Calcs'!G257))</f>
        <v/>
      </c>
      <c r="G261" s="30" t="str">
        <f>IF(OR(C260=1,C260=""),"",IF('Imperial Data'!$B$2,'Imperial Calcs'!F257,'Imperial Calcs'!J257))</f>
        <v/>
      </c>
      <c r="H261" s="30" t="str">
        <f>IF(OR(C260=1,C260=""),"",IF('Imperial Data'!$B$2,'Imperial Calcs'!G257,'Imperial Calcs'!M257))</f>
        <v/>
      </c>
      <c r="I261" s="30" t="str">
        <f>IF(C261="","",IF('Imperial Data'!$B$2,'Imperial Calcs'!J257,'Imperial Calcs'!Y257))</f>
        <v/>
      </c>
      <c r="J261" s="30" t="str">
        <f>IF('Imperial Data'!$B$2,'Imperial Calcs'!M257,"")</f>
        <v/>
      </c>
      <c r="K261" s="30"/>
      <c r="L261" s="37" t="str">
        <f>IF('Imperial Data'!$B$2,J261,H261)</f>
        <v/>
      </c>
      <c r="M261" s="112"/>
    </row>
    <row r="262" spans="1:13" x14ac:dyDescent="0.2">
      <c r="A262" s="32" t="str">
        <f t="shared" si="40"/>
        <v/>
      </c>
      <c r="C262" s="35" t="str">
        <f>IF(OR(C261=1,C261=""),"",'Imperial Calcs'!B258)</f>
        <v/>
      </c>
      <c r="D262" s="30" t="str">
        <f>IF(C262="","",'Imperial Calcs'!C258)</f>
        <v/>
      </c>
      <c r="E262" s="30" t="str">
        <f>IF(OR(C261=1,C261=""),"",IF('Imperial Data'!$B$2,'Imperial Calcs'!D258,'Imperial Calcs'!E258))</f>
        <v/>
      </c>
      <c r="F262" s="30" t="str">
        <f>IF(OR(C261=1,C261=""),"",IF('Imperial Data'!$B$2,'Imperial Calcs'!E258,'Imperial Calcs'!G258))</f>
        <v/>
      </c>
      <c r="G262" s="30" t="str">
        <f>IF(OR(C261=1,C261=""),"",IF('Imperial Data'!$B$2,'Imperial Calcs'!F258,'Imperial Calcs'!J258))</f>
        <v/>
      </c>
      <c r="H262" s="30" t="str">
        <f>IF(OR(C261=1,C261=""),"",IF('Imperial Data'!$B$2,'Imperial Calcs'!G258,'Imperial Calcs'!M258))</f>
        <v/>
      </c>
      <c r="I262" s="30" t="str">
        <f>IF(C262="","",IF('Imperial Data'!$B$2,'Imperial Calcs'!J258,'Imperial Calcs'!Y258))</f>
        <v/>
      </c>
      <c r="J262" s="30" t="str">
        <f>IF('Imperial Data'!$B$2,'Imperial Calcs'!M258,"")</f>
        <v/>
      </c>
      <c r="K262" s="30"/>
      <c r="L262" s="37" t="str">
        <f>IF('Imperial Data'!$B$2,J262,H262)</f>
        <v/>
      </c>
      <c r="M262" s="112"/>
    </row>
    <row r="263" spans="1:13" x14ac:dyDescent="0.2">
      <c r="A263" s="32" t="str">
        <f t="shared" si="40"/>
        <v/>
      </c>
      <c r="C263" s="35" t="str">
        <f>IF(OR(C262=1,C262=""),"",'Imperial Calcs'!B259)</f>
        <v/>
      </c>
      <c r="D263" s="30" t="str">
        <f>IF(C263="","",'Imperial Calcs'!C259)</f>
        <v/>
      </c>
      <c r="E263" s="30" t="str">
        <f>IF(OR(C262=1,C262=""),"",IF('Imperial Data'!$B$2,'Imperial Calcs'!D259,'Imperial Calcs'!E259))</f>
        <v/>
      </c>
      <c r="F263" s="30" t="str">
        <f>IF(OR(C262=1,C262=""),"",IF('Imperial Data'!$B$2,'Imperial Calcs'!E259,'Imperial Calcs'!G259))</f>
        <v/>
      </c>
      <c r="G263" s="30" t="str">
        <f>IF(OR(C262=1,C262=""),"",IF('Imperial Data'!$B$2,'Imperial Calcs'!F259,'Imperial Calcs'!J259))</f>
        <v/>
      </c>
      <c r="H263" s="30" t="str">
        <f>IF(OR(C262=1,C262=""),"",IF('Imperial Data'!$B$2,'Imperial Calcs'!G259,'Imperial Calcs'!M259))</f>
        <v/>
      </c>
      <c r="I263" s="30" t="str">
        <f>IF(C263="","",IF('Imperial Data'!$B$2,'Imperial Calcs'!J259,'Imperial Calcs'!Y259))</f>
        <v/>
      </c>
      <c r="J263" s="30" t="str">
        <f>IF('Imperial Data'!$B$2,'Imperial Calcs'!M259,"")</f>
        <v/>
      </c>
      <c r="K263" s="30"/>
      <c r="L263" s="37" t="str">
        <f>IF('Imperial Data'!$B$2,J263,H263)</f>
        <v/>
      </c>
      <c r="M263" s="112"/>
    </row>
    <row r="264" spans="1:13" x14ac:dyDescent="0.2">
      <c r="A264" s="32" t="str">
        <f t="shared" si="40"/>
        <v/>
      </c>
      <c r="C264" s="35" t="str">
        <f>IF(OR(C263=1,C263=""),"",'Imperial Calcs'!B260)</f>
        <v/>
      </c>
      <c r="D264" s="30" t="str">
        <f>IF(C264="","",'Imperial Calcs'!C260)</f>
        <v/>
      </c>
      <c r="E264" s="30" t="str">
        <f>IF(OR(C263=1,C263=""),"",IF('Imperial Data'!$B$2,'Imperial Calcs'!D260,'Imperial Calcs'!E260))</f>
        <v/>
      </c>
      <c r="F264" s="30" t="str">
        <f>IF(OR(C263=1,C263=""),"",IF('Imperial Data'!$B$2,'Imperial Calcs'!E260,'Imperial Calcs'!G260))</f>
        <v/>
      </c>
      <c r="G264" s="30" t="str">
        <f>IF(OR(C263=1,C263=""),"",IF('Imperial Data'!$B$2,'Imperial Calcs'!F260,'Imperial Calcs'!J260))</f>
        <v/>
      </c>
      <c r="H264" s="30" t="str">
        <f>IF(OR(C263=1,C263=""),"",IF('Imperial Data'!$B$2,'Imperial Calcs'!G260,'Imperial Calcs'!M260))</f>
        <v/>
      </c>
      <c r="I264" s="30" t="str">
        <f>IF(C264="","",IF('Imperial Data'!$B$2,'Imperial Calcs'!J260,'Imperial Calcs'!Y260))</f>
        <v/>
      </c>
      <c r="J264" s="30" t="str">
        <f>IF('Imperial Data'!$B$2,'Imperial Calcs'!M260,"")</f>
        <v/>
      </c>
      <c r="K264" s="30"/>
      <c r="L264" s="37" t="str">
        <f>IF('Imperial Data'!$B$2,J264,H264)</f>
        <v/>
      </c>
      <c r="M264" s="112"/>
    </row>
    <row r="265" spans="1:13" x14ac:dyDescent="0.2">
      <c r="A265" s="32" t="str">
        <f t="shared" si="40"/>
        <v/>
      </c>
      <c r="C265" s="35" t="str">
        <f>IF(OR(C264=1,C264=""),"",'Imperial Calcs'!B261)</f>
        <v/>
      </c>
      <c r="D265" s="30" t="str">
        <f>IF(C265="","",'Imperial Calcs'!C261)</f>
        <v/>
      </c>
      <c r="E265" s="30" t="str">
        <f>IF(OR(C264=1,C264=""),"",IF('Imperial Data'!$B$2,'Imperial Calcs'!D261,'Imperial Calcs'!E261))</f>
        <v/>
      </c>
      <c r="F265" s="30" t="str">
        <f>IF(OR(C264=1,C264=""),"",IF('Imperial Data'!$B$2,'Imperial Calcs'!E261,'Imperial Calcs'!G261))</f>
        <v/>
      </c>
      <c r="G265" s="30" t="str">
        <f>IF(OR(C264=1,C264=""),"",IF('Imperial Data'!$B$2,'Imperial Calcs'!F261,'Imperial Calcs'!J261))</f>
        <v/>
      </c>
      <c r="H265" s="30" t="str">
        <f>IF(OR(C264=1,C264=""),"",IF('Imperial Data'!$B$2,'Imperial Calcs'!G261,'Imperial Calcs'!M261))</f>
        <v/>
      </c>
      <c r="I265" s="30" t="str">
        <f>IF(C265="","",IF('Imperial Data'!$B$2,'Imperial Calcs'!J261,'Imperial Calcs'!Y261))</f>
        <v/>
      </c>
      <c r="J265" s="30" t="str">
        <f>IF('Imperial Data'!$B$2,'Imperial Calcs'!M261,"")</f>
        <v/>
      </c>
      <c r="K265" s="30"/>
      <c r="L265" s="37" t="str">
        <f>IF('Imperial Data'!$B$2,J265,H265)</f>
        <v/>
      </c>
      <c r="M265" s="112"/>
    </row>
    <row r="266" spans="1:13" x14ac:dyDescent="0.2">
      <c r="A266" s="32" t="str">
        <f t="shared" si="40"/>
        <v/>
      </c>
      <c r="C266" s="35" t="str">
        <f>IF(OR(C265=1,C265=""),"",'Imperial Calcs'!B262)</f>
        <v/>
      </c>
      <c r="D266" s="30" t="str">
        <f>IF(C266="","",'Imperial Calcs'!C262)</f>
        <v/>
      </c>
      <c r="E266" s="30" t="str">
        <f>IF(OR(C265=1,C265=""),"",IF('Imperial Data'!$B$2,'Imperial Calcs'!D262,'Imperial Calcs'!E262))</f>
        <v/>
      </c>
      <c r="F266" s="30" t="str">
        <f>IF(OR(C265=1,C265=""),"",IF('Imperial Data'!$B$2,'Imperial Calcs'!E262,'Imperial Calcs'!G262))</f>
        <v/>
      </c>
      <c r="G266" s="30" t="str">
        <f>IF(OR(C265=1,C265=""),"",IF('Imperial Data'!$B$2,'Imperial Calcs'!F262,'Imperial Calcs'!J262))</f>
        <v/>
      </c>
      <c r="H266" s="30" t="str">
        <f>IF(OR(C265=1,C265=""),"",IF('Imperial Data'!$B$2,'Imperial Calcs'!G262,'Imperial Calcs'!M262))</f>
        <v/>
      </c>
      <c r="I266" s="30" t="str">
        <f>IF(C266="","",IF('Imperial Data'!$B$2,'Imperial Calcs'!J262,'Imperial Calcs'!Y262))</f>
        <v/>
      </c>
      <c r="J266" s="30" t="str">
        <f>IF('Imperial Data'!$B$2,'Imperial Calcs'!M262,"")</f>
        <v/>
      </c>
      <c r="K266" s="30"/>
      <c r="L266" s="37" t="str">
        <f>IF('Imperial Data'!$B$2,J266,H266)</f>
        <v/>
      </c>
      <c r="M266" s="112"/>
    </row>
    <row r="267" spans="1:13" x14ac:dyDescent="0.2">
      <c r="A267" s="32" t="str">
        <f t="shared" si="40"/>
        <v/>
      </c>
      <c r="C267" s="35" t="str">
        <f>IF(OR(C266=1,C266=""),"",'Imperial Calcs'!B263)</f>
        <v/>
      </c>
      <c r="D267" s="30" t="str">
        <f>IF(C267="","",'Imperial Calcs'!C263)</f>
        <v/>
      </c>
      <c r="E267" s="30" t="str">
        <f>IF(OR(C266=1,C266=""),"",IF('Imperial Data'!$B$2,'Imperial Calcs'!D263,'Imperial Calcs'!E263))</f>
        <v/>
      </c>
      <c r="F267" s="30" t="str">
        <f>IF(OR(C266=1,C266=""),"",IF('Imperial Data'!$B$2,'Imperial Calcs'!E263,'Imperial Calcs'!G263))</f>
        <v/>
      </c>
      <c r="G267" s="30" t="str">
        <f>IF(OR(C266=1,C266=""),"",IF('Imperial Data'!$B$2,'Imperial Calcs'!F263,'Imperial Calcs'!J263))</f>
        <v/>
      </c>
      <c r="H267" s="30" t="str">
        <f>IF(OR(C266=1,C266=""),"",IF('Imperial Data'!$B$2,'Imperial Calcs'!G263,'Imperial Calcs'!M263))</f>
        <v/>
      </c>
      <c r="I267" s="30" t="str">
        <f>IF(C267="","",IF('Imperial Data'!$B$2,'Imperial Calcs'!J263,'Imperial Calcs'!Y263))</f>
        <v/>
      </c>
      <c r="J267" s="30" t="str">
        <f>IF('Imperial Data'!$B$2,'Imperial Calcs'!M263,"")</f>
        <v/>
      </c>
      <c r="K267" s="30"/>
      <c r="L267" s="37" t="str">
        <f>IF('Imperial Data'!$B$2,J267,H267)</f>
        <v/>
      </c>
      <c r="M267" s="112"/>
    </row>
    <row r="268" spans="1:13" x14ac:dyDescent="0.2">
      <c r="A268" s="32" t="str">
        <f t="shared" si="40"/>
        <v/>
      </c>
      <c r="C268" s="35" t="str">
        <f>IF(OR(C267=1,C267=""),"",'Imperial Calcs'!B264)</f>
        <v/>
      </c>
      <c r="D268" s="30" t="str">
        <f>IF(C268="","",'Imperial Calcs'!C264)</f>
        <v/>
      </c>
      <c r="E268" s="30" t="str">
        <f>IF(OR(C267=1,C267=""),"",IF('Imperial Data'!$B$2,'Imperial Calcs'!D264,'Imperial Calcs'!E264))</f>
        <v/>
      </c>
      <c r="F268" s="30" t="str">
        <f>IF(OR(C267=1,C267=""),"",IF('Imperial Data'!$B$2,'Imperial Calcs'!E264,'Imperial Calcs'!G264))</f>
        <v/>
      </c>
      <c r="G268" s="30" t="str">
        <f>IF(OR(C267=1,C267=""),"",IF('Imperial Data'!$B$2,'Imperial Calcs'!F264,'Imperial Calcs'!J264))</f>
        <v/>
      </c>
      <c r="H268" s="30" t="str">
        <f>IF(OR(C267=1,C267=""),"",IF('Imperial Data'!$B$2,'Imperial Calcs'!G264,'Imperial Calcs'!M264))</f>
        <v/>
      </c>
      <c r="I268" s="30" t="str">
        <f>IF(C268="","",IF('Imperial Data'!$B$2,'Imperial Calcs'!J264,'Imperial Calcs'!Y264))</f>
        <v/>
      </c>
      <c r="J268" s="30" t="str">
        <f>IF('Imperial Data'!$B$2,'Imperial Calcs'!M264,"")</f>
        <v/>
      </c>
      <c r="K268" s="30"/>
      <c r="L268" s="37" t="str">
        <f>IF('Imperial Data'!$B$2,J268,H268)</f>
        <v/>
      </c>
      <c r="M268" s="112"/>
    </row>
    <row r="269" spans="1:13" x14ac:dyDescent="0.2">
      <c r="A269" s="32" t="str">
        <f t="shared" si="40"/>
        <v/>
      </c>
      <c r="C269" s="35" t="str">
        <f>IF(OR(C268=1,C268=""),"",'Imperial Calcs'!B265)</f>
        <v/>
      </c>
      <c r="D269" s="30" t="str">
        <f>IF(C269="","",'Imperial Calcs'!C265)</f>
        <v/>
      </c>
      <c r="E269" s="30" t="str">
        <f>IF(OR(C268=1,C268=""),"",IF('Imperial Data'!$B$2,'Imperial Calcs'!D265,'Imperial Calcs'!E265))</f>
        <v/>
      </c>
      <c r="F269" s="30" t="str">
        <f>IF(OR(C268=1,C268=""),"",IF('Imperial Data'!$B$2,'Imperial Calcs'!E265,'Imperial Calcs'!G265))</f>
        <v/>
      </c>
      <c r="G269" s="30" t="str">
        <f>IF(OR(C268=1,C268=""),"",IF('Imperial Data'!$B$2,'Imperial Calcs'!F265,'Imperial Calcs'!J265))</f>
        <v/>
      </c>
      <c r="H269" s="30" t="str">
        <f>IF(OR(C268=1,C268=""),"",IF('Imperial Data'!$B$2,'Imperial Calcs'!G265,'Imperial Calcs'!M265))</f>
        <v/>
      </c>
      <c r="I269" s="30" t="str">
        <f>IF(C269="","",IF('Imperial Data'!$B$2,'Imperial Calcs'!J265,'Imperial Calcs'!Y265))</f>
        <v/>
      </c>
      <c r="J269" s="30" t="str">
        <f>IF('Imperial Data'!$B$2,'Imperial Calcs'!M265,"")</f>
        <v/>
      </c>
      <c r="K269" s="30"/>
      <c r="L269" s="37" t="str">
        <f>IF('Imperial Data'!$B$2,J269,H269)</f>
        <v/>
      </c>
      <c r="M269" s="112"/>
    </row>
    <row r="270" spans="1:13" x14ac:dyDescent="0.2">
      <c r="A270" s="32" t="str">
        <f t="shared" si="40"/>
        <v/>
      </c>
      <c r="C270" s="35" t="str">
        <f>IF(OR(C269=1,C269=""),"",'Imperial Calcs'!B266)</f>
        <v/>
      </c>
      <c r="D270" s="30" t="str">
        <f>IF(C270="","",'Imperial Calcs'!C266)</f>
        <v/>
      </c>
      <c r="E270" s="30" t="str">
        <f>IF(OR(C269=1,C269=""),"",IF('Imperial Data'!$B$2,'Imperial Calcs'!D266,'Imperial Calcs'!E266))</f>
        <v/>
      </c>
      <c r="F270" s="30" t="str">
        <f>IF(OR(C269=1,C269=""),"",IF('Imperial Data'!$B$2,'Imperial Calcs'!E266,'Imperial Calcs'!G266))</f>
        <v/>
      </c>
      <c r="G270" s="30" t="str">
        <f>IF(OR(C269=1,C269=""),"",IF('Imperial Data'!$B$2,'Imperial Calcs'!F266,'Imperial Calcs'!J266))</f>
        <v/>
      </c>
      <c r="H270" s="30" t="str">
        <f>IF(OR(C269=1,C269=""),"",IF('Imperial Data'!$B$2,'Imperial Calcs'!G266,'Imperial Calcs'!M266))</f>
        <v/>
      </c>
      <c r="I270" s="30" t="str">
        <f>IF(C270="","",IF('Imperial Data'!$B$2,'Imperial Calcs'!J266,'Imperial Calcs'!Y266))</f>
        <v/>
      </c>
      <c r="J270" s="30" t="str">
        <f>IF('Imperial Data'!$B$2,'Imperial Calcs'!M266,"")</f>
        <v/>
      </c>
      <c r="K270" s="30"/>
      <c r="L270" s="37" t="str">
        <f>IF('Imperial Data'!$B$2,J270,H270)</f>
        <v/>
      </c>
      <c r="M270" s="112"/>
    </row>
    <row r="271" spans="1:13" x14ac:dyDescent="0.2">
      <c r="A271" s="32" t="str">
        <f t="shared" si="40"/>
        <v/>
      </c>
      <c r="C271" s="35" t="str">
        <f>IF(OR(C270=1,C270=""),"",'Imperial Calcs'!B267)</f>
        <v/>
      </c>
      <c r="D271" s="30" t="str">
        <f>IF(C271="","",'Imperial Calcs'!C267)</f>
        <v/>
      </c>
      <c r="E271" s="30" t="str">
        <f>IF(OR(C270=1,C270=""),"",IF('Imperial Data'!$B$2,'Imperial Calcs'!D267,'Imperial Calcs'!E267))</f>
        <v/>
      </c>
      <c r="F271" s="30" t="str">
        <f>IF(OR(C270=1,C270=""),"",IF('Imperial Data'!$B$2,'Imperial Calcs'!E267,'Imperial Calcs'!G267))</f>
        <v/>
      </c>
      <c r="G271" s="30" t="str">
        <f>IF(OR(C270=1,C270=""),"",IF('Imperial Data'!$B$2,'Imperial Calcs'!F267,'Imperial Calcs'!J267))</f>
        <v/>
      </c>
      <c r="H271" s="30" t="str">
        <f>IF(OR(C270=1,C270=""),"",IF('Imperial Data'!$B$2,'Imperial Calcs'!G267,'Imperial Calcs'!M267))</f>
        <v/>
      </c>
      <c r="I271" s="30" t="str">
        <f>IF(C271="","",IF('Imperial Data'!$B$2,'Imperial Calcs'!J267,'Imperial Calcs'!Y267))</f>
        <v/>
      </c>
      <c r="J271" s="30" t="str">
        <f>IF('Imperial Data'!$B$2,'Imperial Calcs'!M267,"")</f>
        <v/>
      </c>
      <c r="K271" s="30"/>
      <c r="L271" s="37" t="str">
        <f>IF('Imperial Data'!$B$2,J271,H271)</f>
        <v/>
      </c>
      <c r="M271" s="112"/>
    </row>
    <row r="272" spans="1:13" x14ac:dyDescent="0.2">
      <c r="A272" s="32" t="str">
        <f t="shared" si="40"/>
        <v/>
      </c>
      <c r="C272" s="35" t="str">
        <f>IF(OR(C271=1,C271=""),"",'Imperial Calcs'!B268)</f>
        <v/>
      </c>
      <c r="D272" s="30" t="str">
        <f>IF(C272="","",'Imperial Calcs'!C268)</f>
        <v/>
      </c>
      <c r="E272" s="30" t="str">
        <f>IF(OR(C271=1,C271=""),"",IF('Imperial Data'!$B$2,'Imperial Calcs'!D268,'Imperial Calcs'!E268))</f>
        <v/>
      </c>
      <c r="F272" s="30" t="str">
        <f>IF(OR(C271=1,C271=""),"",IF('Imperial Data'!$B$2,'Imperial Calcs'!E268,'Imperial Calcs'!G268))</f>
        <v/>
      </c>
      <c r="G272" s="30" t="str">
        <f>IF(OR(C271=1,C271=""),"",IF('Imperial Data'!$B$2,'Imperial Calcs'!F268,'Imperial Calcs'!J268))</f>
        <v/>
      </c>
      <c r="H272" s="30" t="str">
        <f>IF(OR(C271=1,C271=""),"",IF('Imperial Data'!$B$2,'Imperial Calcs'!G268,'Imperial Calcs'!M268))</f>
        <v/>
      </c>
      <c r="I272" s="30" t="str">
        <f>IF(C272="","",IF('Imperial Data'!$B$2,'Imperial Calcs'!J268,'Imperial Calcs'!Y268))</f>
        <v/>
      </c>
      <c r="J272" s="30" t="str">
        <f>IF('Imperial Data'!$B$2,'Imperial Calcs'!M268,"")</f>
        <v/>
      </c>
      <c r="K272" s="30"/>
      <c r="L272" s="37" t="str">
        <f>IF('Imperial Data'!$B$2,J272,H272)</f>
        <v/>
      </c>
      <c r="M272" s="112"/>
    </row>
    <row r="273" spans="1:13" x14ac:dyDescent="0.2">
      <c r="A273" s="32" t="str">
        <f t="shared" si="40"/>
        <v/>
      </c>
      <c r="C273" s="35" t="str">
        <f>IF(OR(C272=1,C272=""),"",'Imperial Calcs'!B269)</f>
        <v/>
      </c>
      <c r="D273" s="30" t="str">
        <f>IF(C273="","",'Imperial Calcs'!C269)</f>
        <v/>
      </c>
      <c r="E273" s="30" t="str">
        <f>IF(OR(C272=1,C272=""),"",IF('Imperial Data'!$B$2,'Imperial Calcs'!D269,'Imperial Calcs'!E269))</f>
        <v/>
      </c>
      <c r="F273" s="30" t="str">
        <f>IF(OR(C272=1,C272=""),"",IF('Imperial Data'!$B$2,'Imperial Calcs'!E269,'Imperial Calcs'!G269))</f>
        <v/>
      </c>
      <c r="G273" s="30" t="str">
        <f>IF(OR(C272=1,C272=""),"",IF('Imperial Data'!$B$2,'Imperial Calcs'!F269,'Imperial Calcs'!J269))</f>
        <v/>
      </c>
      <c r="H273" s="30" t="str">
        <f>IF(OR(C272=1,C272=""),"",IF('Imperial Data'!$B$2,'Imperial Calcs'!G269,'Imperial Calcs'!M269))</f>
        <v/>
      </c>
      <c r="I273" s="30" t="str">
        <f>IF(C273="","",IF('Imperial Data'!$B$2,'Imperial Calcs'!J269,'Imperial Calcs'!Y269))</f>
        <v/>
      </c>
      <c r="J273" s="30" t="str">
        <f>IF('Imperial Data'!$B$2,'Imperial Calcs'!M269,"")</f>
        <v/>
      </c>
      <c r="K273" s="30"/>
      <c r="L273" s="37" t="str">
        <f>IF('Imperial Data'!$B$2,J273,H273)</f>
        <v/>
      </c>
      <c r="M273" s="112"/>
    </row>
    <row r="274" spans="1:13" x14ac:dyDescent="0.2">
      <c r="A274" s="32" t="str">
        <f t="shared" ref="A274:A337" si="41">IF(C274&lt;&gt;"",A273+1,"")</f>
        <v/>
      </c>
      <c r="C274" s="35" t="str">
        <f>IF(OR(C273=1,C273=""),"",'Imperial Calcs'!B270)</f>
        <v/>
      </c>
      <c r="D274" s="30" t="str">
        <f>IF(C274="","",'Imperial Calcs'!C270)</f>
        <v/>
      </c>
      <c r="E274" s="30" t="str">
        <f>IF(OR(C273=1,C273=""),"",IF('Imperial Data'!$B$2,'Imperial Calcs'!D270,'Imperial Calcs'!E270))</f>
        <v/>
      </c>
      <c r="F274" s="30" t="str">
        <f>IF(OR(C273=1,C273=""),"",IF('Imperial Data'!$B$2,'Imperial Calcs'!E270,'Imperial Calcs'!G270))</f>
        <v/>
      </c>
      <c r="G274" s="30" t="str">
        <f>IF(OR(C273=1,C273=""),"",IF('Imperial Data'!$B$2,'Imperial Calcs'!F270,'Imperial Calcs'!J270))</f>
        <v/>
      </c>
      <c r="H274" s="30" t="str">
        <f>IF(OR(C273=1,C273=""),"",IF('Imperial Data'!$B$2,'Imperial Calcs'!G270,'Imperial Calcs'!M270))</f>
        <v/>
      </c>
      <c r="I274" s="30" t="str">
        <f>IF(C274="","",IF('Imperial Data'!$B$2,'Imperial Calcs'!J270,'Imperial Calcs'!Y270))</f>
        <v/>
      </c>
      <c r="J274" s="30" t="str">
        <f>IF('Imperial Data'!$B$2,'Imperial Calcs'!M270,"")</f>
        <v/>
      </c>
      <c r="K274" s="30"/>
      <c r="L274" s="37" t="str">
        <f>IF('Imperial Data'!$B$2,J274,H274)</f>
        <v/>
      </c>
      <c r="M274" s="112"/>
    </row>
    <row r="275" spans="1:13" x14ac:dyDescent="0.2">
      <c r="A275" s="32" t="str">
        <f t="shared" si="41"/>
        <v/>
      </c>
      <c r="C275" s="35" t="str">
        <f>IF(OR(C274=1,C274=""),"",'Imperial Calcs'!B271)</f>
        <v/>
      </c>
      <c r="D275" s="30" t="str">
        <f>IF(C275="","",'Imperial Calcs'!C271)</f>
        <v/>
      </c>
      <c r="E275" s="30" t="str">
        <f>IF(OR(C274=1,C274=""),"",IF('Imperial Data'!$B$2,'Imperial Calcs'!D271,'Imperial Calcs'!E271))</f>
        <v/>
      </c>
      <c r="F275" s="30" t="str">
        <f>IF(OR(C274=1,C274=""),"",IF('Imperial Data'!$B$2,'Imperial Calcs'!E271,'Imperial Calcs'!G271))</f>
        <v/>
      </c>
      <c r="G275" s="30" t="str">
        <f>IF(OR(C274=1,C274=""),"",IF('Imperial Data'!$B$2,'Imperial Calcs'!F271,'Imperial Calcs'!J271))</f>
        <v/>
      </c>
      <c r="H275" s="30" t="str">
        <f>IF(OR(C274=1,C274=""),"",IF('Imperial Data'!$B$2,'Imperial Calcs'!G271,'Imperial Calcs'!M271))</f>
        <v/>
      </c>
      <c r="I275" s="30" t="str">
        <f>IF(C275="","",IF('Imperial Data'!$B$2,'Imperial Calcs'!J271,'Imperial Calcs'!Y271))</f>
        <v/>
      </c>
      <c r="J275" s="30" t="str">
        <f>IF('Imperial Data'!$B$2,'Imperial Calcs'!M271,"")</f>
        <v/>
      </c>
      <c r="K275" s="30"/>
      <c r="L275" s="37" t="str">
        <f>IF('Imperial Data'!$B$2,J275,H275)</f>
        <v/>
      </c>
      <c r="M275" s="112"/>
    </row>
    <row r="276" spans="1:13" x14ac:dyDescent="0.2">
      <c r="A276" s="32" t="str">
        <f t="shared" si="41"/>
        <v/>
      </c>
      <c r="C276" s="35" t="str">
        <f>IF(OR(C275=1,C275=""),"",'Imperial Calcs'!B272)</f>
        <v/>
      </c>
      <c r="D276" s="30" t="str">
        <f>IF(C276="","",'Imperial Calcs'!C272)</f>
        <v/>
      </c>
      <c r="E276" s="30" t="str">
        <f>IF(OR(C275=1,C275=""),"",IF('Imperial Data'!$B$2,'Imperial Calcs'!D272,'Imperial Calcs'!E272))</f>
        <v/>
      </c>
      <c r="F276" s="30" t="str">
        <f>IF(OR(C275=1,C275=""),"",IF('Imperial Data'!$B$2,'Imperial Calcs'!E272,'Imperial Calcs'!G272))</f>
        <v/>
      </c>
      <c r="G276" s="30" t="str">
        <f>IF(OR(C275=1,C275=""),"",IF('Imperial Data'!$B$2,'Imperial Calcs'!F272,'Imperial Calcs'!J272))</f>
        <v/>
      </c>
      <c r="H276" s="30" t="str">
        <f>IF(OR(C275=1,C275=""),"",IF('Imperial Data'!$B$2,'Imperial Calcs'!G272,'Imperial Calcs'!M272))</f>
        <v/>
      </c>
      <c r="I276" s="30" t="str">
        <f>IF(C276="","",IF('Imperial Data'!$B$2,'Imperial Calcs'!J272,'Imperial Calcs'!Y272))</f>
        <v/>
      </c>
      <c r="J276" s="30" t="str">
        <f>IF('Imperial Data'!$B$2,'Imperial Calcs'!M272,"")</f>
        <v/>
      </c>
      <c r="K276" s="30"/>
      <c r="L276" s="37" t="str">
        <f>IF('Imperial Data'!$B$2,J276,H276)</f>
        <v/>
      </c>
      <c r="M276" s="112"/>
    </row>
    <row r="277" spans="1:13" x14ac:dyDescent="0.2">
      <c r="A277" s="32" t="str">
        <f t="shared" si="41"/>
        <v/>
      </c>
      <c r="C277" s="35" t="str">
        <f>IF(OR(C276=1,C276=""),"",'Imperial Calcs'!B273)</f>
        <v/>
      </c>
      <c r="D277" s="30" t="str">
        <f>IF(C277="","",'Imperial Calcs'!C273)</f>
        <v/>
      </c>
      <c r="E277" s="30" t="str">
        <f>IF(OR(C276=1,C276=""),"",IF('Imperial Data'!$B$2,'Imperial Calcs'!D273,'Imperial Calcs'!E273))</f>
        <v/>
      </c>
      <c r="F277" s="30" t="str">
        <f>IF(OR(C276=1,C276=""),"",IF('Imperial Data'!$B$2,'Imperial Calcs'!E273,'Imperial Calcs'!G273))</f>
        <v/>
      </c>
      <c r="G277" s="30" t="str">
        <f>IF(OR(C276=1,C276=""),"",IF('Imperial Data'!$B$2,'Imperial Calcs'!F273,'Imperial Calcs'!J273))</f>
        <v/>
      </c>
      <c r="H277" s="30" t="str">
        <f>IF(OR(C276=1,C276=""),"",IF('Imperial Data'!$B$2,'Imperial Calcs'!G273,'Imperial Calcs'!M273))</f>
        <v/>
      </c>
      <c r="I277" s="30" t="str">
        <f>IF(C277="","",IF('Imperial Data'!$B$2,'Imperial Calcs'!J273,'Imperial Calcs'!Y273))</f>
        <v/>
      </c>
      <c r="J277" s="30" t="str">
        <f>IF('Imperial Data'!$B$2,'Imperial Calcs'!M273,"")</f>
        <v/>
      </c>
      <c r="K277" s="30"/>
      <c r="L277" s="37" t="str">
        <f>IF('Imperial Data'!$B$2,J277,H277)</f>
        <v/>
      </c>
      <c r="M277" s="112"/>
    </row>
    <row r="278" spans="1:13" x14ac:dyDescent="0.2">
      <c r="A278" s="32" t="str">
        <f t="shared" si="41"/>
        <v/>
      </c>
      <c r="C278" s="35" t="str">
        <f>IF(OR(C277=1,C277=""),"",'Imperial Calcs'!B274)</f>
        <v/>
      </c>
      <c r="D278" s="30" t="str">
        <f>IF(C278="","",'Imperial Calcs'!C274)</f>
        <v/>
      </c>
      <c r="E278" s="30" t="str">
        <f>IF(OR(C277=1,C277=""),"",IF('Imperial Data'!$B$2,'Imperial Calcs'!D274,'Imperial Calcs'!E274))</f>
        <v/>
      </c>
      <c r="F278" s="30" t="str">
        <f>IF(OR(C277=1,C277=""),"",IF('Imperial Data'!$B$2,'Imperial Calcs'!E274,'Imperial Calcs'!G274))</f>
        <v/>
      </c>
      <c r="G278" s="30" t="str">
        <f>IF(OR(C277=1,C277=""),"",IF('Imperial Data'!$B$2,'Imperial Calcs'!F274,'Imperial Calcs'!J274))</f>
        <v/>
      </c>
      <c r="H278" s="30" t="str">
        <f>IF(OR(C277=1,C277=""),"",IF('Imperial Data'!$B$2,'Imperial Calcs'!G274,'Imperial Calcs'!M274))</f>
        <v/>
      </c>
      <c r="I278" s="30" t="str">
        <f>IF(C278="","",IF('Imperial Data'!$B$2,'Imperial Calcs'!J274,'Imperial Calcs'!Y274))</f>
        <v/>
      </c>
      <c r="J278" s="30" t="str">
        <f>IF('Imperial Data'!$B$2,'Imperial Calcs'!M274,"")</f>
        <v/>
      </c>
      <c r="K278" s="30"/>
      <c r="L278" s="37" t="str">
        <f>IF('Imperial Data'!$B$2,J278,H278)</f>
        <v/>
      </c>
      <c r="M278" s="112"/>
    </row>
    <row r="279" spans="1:13" x14ac:dyDescent="0.2">
      <c r="A279" s="32" t="str">
        <f t="shared" si="41"/>
        <v/>
      </c>
      <c r="C279" s="35" t="str">
        <f>IF(OR(C278=1,C278=""),"",'Imperial Calcs'!B275)</f>
        <v/>
      </c>
      <c r="D279" s="30" t="str">
        <f>IF(C279="","",'Imperial Calcs'!C275)</f>
        <v/>
      </c>
      <c r="E279" s="30" t="str">
        <f>IF(OR(C278=1,C278=""),"",IF('Imperial Data'!$B$2,'Imperial Calcs'!D275,'Imperial Calcs'!E275))</f>
        <v/>
      </c>
      <c r="F279" s="30" t="str">
        <f>IF(OR(C278=1,C278=""),"",IF('Imperial Data'!$B$2,'Imperial Calcs'!E275,'Imperial Calcs'!G275))</f>
        <v/>
      </c>
      <c r="G279" s="30" t="str">
        <f>IF(OR(C278=1,C278=""),"",IF('Imperial Data'!$B$2,'Imperial Calcs'!F275,'Imperial Calcs'!J275))</f>
        <v/>
      </c>
      <c r="H279" s="30" t="str">
        <f>IF(OR(C278=1,C278=""),"",IF('Imperial Data'!$B$2,'Imperial Calcs'!G275,'Imperial Calcs'!M275))</f>
        <v/>
      </c>
      <c r="I279" s="30" t="str">
        <f>IF(C279="","",IF('Imperial Data'!$B$2,'Imperial Calcs'!J275,'Imperial Calcs'!Y275))</f>
        <v/>
      </c>
      <c r="J279" s="30" t="str">
        <f>IF('Imperial Data'!$B$2,'Imperial Calcs'!M275,"")</f>
        <v/>
      </c>
      <c r="K279" s="30"/>
      <c r="L279" s="37" t="str">
        <f>IF('Imperial Data'!$B$2,J279,H279)</f>
        <v/>
      </c>
      <c r="M279" s="112"/>
    </row>
    <row r="280" spans="1:13" x14ac:dyDescent="0.2">
      <c r="A280" s="32" t="str">
        <f t="shared" si="41"/>
        <v/>
      </c>
      <c r="C280" s="35" t="str">
        <f>IF(OR(C279=1,C279=""),"",'Imperial Calcs'!B276)</f>
        <v/>
      </c>
      <c r="D280" s="30" t="str">
        <f>IF(C280="","",'Imperial Calcs'!C276)</f>
        <v/>
      </c>
      <c r="E280" s="30" t="str">
        <f>IF(OR(C279=1,C279=""),"",IF('Imperial Data'!$B$2,'Imperial Calcs'!D276,'Imperial Calcs'!E276))</f>
        <v/>
      </c>
      <c r="F280" s="30" t="str">
        <f>IF(OR(C279=1,C279=""),"",IF('Imperial Data'!$B$2,'Imperial Calcs'!E276,'Imperial Calcs'!G276))</f>
        <v/>
      </c>
      <c r="G280" s="30" t="str">
        <f>IF(OR(C279=1,C279=""),"",IF('Imperial Data'!$B$2,'Imperial Calcs'!F276,'Imperial Calcs'!J276))</f>
        <v/>
      </c>
      <c r="H280" s="30" t="str">
        <f>IF(OR(C279=1,C279=""),"",IF('Imperial Data'!$B$2,'Imperial Calcs'!G276,'Imperial Calcs'!M276))</f>
        <v/>
      </c>
      <c r="I280" s="30" t="str">
        <f>IF(C280="","",IF('Imperial Data'!$B$2,'Imperial Calcs'!J276,'Imperial Calcs'!Y276))</f>
        <v/>
      </c>
      <c r="J280" s="30" t="str">
        <f>IF('Imperial Data'!$B$2,'Imperial Calcs'!M276,"")</f>
        <v/>
      </c>
      <c r="K280" s="30"/>
      <c r="L280" s="37" t="str">
        <f>IF('Imperial Data'!$B$2,J280,H280)</f>
        <v/>
      </c>
      <c r="M280" s="112"/>
    </row>
    <row r="281" spans="1:13" x14ac:dyDescent="0.2">
      <c r="A281" s="32" t="str">
        <f t="shared" si="41"/>
        <v/>
      </c>
      <c r="C281" s="35" t="str">
        <f>IF(OR(C280=1,C280=""),"",'Imperial Calcs'!B277)</f>
        <v/>
      </c>
      <c r="D281" s="30" t="str">
        <f>IF(C281="","",'Imperial Calcs'!C277)</f>
        <v/>
      </c>
      <c r="E281" s="30" t="str">
        <f>IF(OR(C280=1,C280=""),"",IF('Imperial Data'!$B$2,'Imperial Calcs'!D277,'Imperial Calcs'!E277))</f>
        <v/>
      </c>
      <c r="F281" s="30" t="str">
        <f>IF(OR(C280=1,C280=""),"",IF('Imperial Data'!$B$2,'Imperial Calcs'!E277,'Imperial Calcs'!G277))</f>
        <v/>
      </c>
      <c r="G281" s="30" t="str">
        <f>IF(OR(C280=1,C280=""),"",IF('Imperial Data'!$B$2,'Imperial Calcs'!F277,'Imperial Calcs'!J277))</f>
        <v/>
      </c>
      <c r="H281" s="30" t="str">
        <f>IF(OR(C280=1,C280=""),"",IF('Imperial Data'!$B$2,'Imperial Calcs'!G277,'Imperial Calcs'!M277))</f>
        <v/>
      </c>
      <c r="I281" s="30" t="str">
        <f>IF(C281="","",IF('Imperial Data'!$B$2,'Imperial Calcs'!J277,'Imperial Calcs'!Y277))</f>
        <v/>
      </c>
      <c r="J281" s="30" t="str">
        <f>IF('Imperial Data'!$B$2,'Imperial Calcs'!M277,"")</f>
        <v/>
      </c>
      <c r="K281" s="30"/>
      <c r="L281" s="37" t="str">
        <f>IF('Imperial Data'!$B$2,J281,H281)</f>
        <v/>
      </c>
      <c r="M281" s="112"/>
    </row>
    <row r="282" spans="1:13" x14ac:dyDescent="0.2">
      <c r="A282" s="32" t="str">
        <f t="shared" si="41"/>
        <v/>
      </c>
      <c r="C282" s="35" t="str">
        <f>IF(OR(C281=1,C281=""),"",'Imperial Calcs'!B278)</f>
        <v/>
      </c>
      <c r="D282" s="30" t="str">
        <f>IF(C282="","",'Imperial Calcs'!C278)</f>
        <v/>
      </c>
      <c r="E282" s="30" t="str">
        <f>IF(OR(C281=1,C281=""),"",IF('Imperial Data'!$B$2,'Imperial Calcs'!D278,'Imperial Calcs'!E278))</f>
        <v/>
      </c>
      <c r="F282" s="30" t="str">
        <f>IF(OR(C281=1,C281=""),"",IF('Imperial Data'!$B$2,'Imperial Calcs'!E278,'Imperial Calcs'!G278))</f>
        <v/>
      </c>
      <c r="G282" s="30" t="str">
        <f>IF(OR(C281=1,C281=""),"",IF('Imperial Data'!$B$2,'Imperial Calcs'!F278,'Imperial Calcs'!J278))</f>
        <v/>
      </c>
      <c r="H282" s="30" t="str">
        <f>IF(OR(C281=1,C281=""),"",IF('Imperial Data'!$B$2,'Imperial Calcs'!G278,'Imperial Calcs'!M278))</f>
        <v/>
      </c>
      <c r="I282" s="30" t="str">
        <f>IF(C282="","",IF('Imperial Data'!$B$2,'Imperial Calcs'!J278,'Imperial Calcs'!Y278))</f>
        <v/>
      </c>
      <c r="J282" s="30" t="str">
        <f>IF('Imperial Data'!$B$2,'Imperial Calcs'!M278,"")</f>
        <v/>
      </c>
      <c r="K282" s="30"/>
      <c r="L282" s="37" t="str">
        <f>IF('Imperial Data'!$B$2,J282,H282)</f>
        <v/>
      </c>
      <c r="M282" s="112"/>
    </row>
    <row r="283" spans="1:13" x14ac:dyDescent="0.2">
      <c r="A283" s="32" t="str">
        <f t="shared" si="41"/>
        <v/>
      </c>
      <c r="C283" s="35" t="str">
        <f>IF(OR(C282=1,C282=""),"",'Imperial Calcs'!B279)</f>
        <v/>
      </c>
      <c r="D283" s="30" t="str">
        <f>IF(C283="","",'Imperial Calcs'!C279)</f>
        <v/>
      </c>
      <c r="E283" s="30" t="str">
        <f>IF(OR(C282=1,C282=""),"",IF('Imperial Data'!$B$2,'Imperial Calcs'!D279,'Imperial Calcs'!E279))</f>
        <v/>
      </c>
      <c r="F283" s="30" t="str">
        <f>IF(OR(C282=1,C282=""),"",IF('Imperial Data'!$B$2,'Imperial Calcs'!E279,'Imperial Calcs'!G279))</f>
        <v/>
      </c>
      <c r="G283" s="30" t="str">
        <f>IF(OR(C282=1,C282=""),"",IF('Imperial Data'!$B$2,'Imperial Calcs'!F279,'Imperial Calcs'!J279))</f>
        <v/>
      </c>
      <c r="H283" s="30" t="str">
        <f>IF(OR(C282=1,C282=""),"",IF('Imperial Data'!$B$2,'Imperial Calcs'!G279,'Imperial Calcs'!M279))</f>
        <v/>
      </c>
      <c r="I283" s="30" t="str">
        <f>IF(C283="","",IF('Imperial Data'!$B$2,'Imperial Calcs'!J279,'Imperial Calcs'!Y279))</f>
        <v/>
      </c>
      <c r="J283" s="30" t="str">
        <f>IF('Imperial Data'!$B$2,'Imperial Calcs'!M279,"")</f>
        <v/>
      </c>
      <c r="K283" s="30"/>
      <c r="L283" s="37" t="str">
        <f>IF('Imperial Data'!$B$2,J283,H283)</f>
        <v/>
      </c>
      <c r="M283" s="112"/>
    </row>
    <row r="284" spans="1:13" x14ac:dyDescent="0.2">
      <c r="A284" s="32" t="str">
        <f t="shared" si="41"/>
        <v/>
      </c>
      <c r="C284" s="35" t="str">
        <f>IF(OR(C283=1,C283=""),"",'Imperial Calcs'!B280)</f>
        <v/>
      </c>
      <c r="D284" s="30" t="str">
        <f>IF(C284="","",'Imperial Calcs'!C280)</f>
        <v/>
      </c>
      <c r="E284" s="30" t="str">
        <f>IF(OR(C283=1,C283=""),"",IF('Imperial Data'!$B$2,'Imperial Calcs'!D280,'Imperial Calcs'!E280))</f>
        <v/>
      </c>
      <c r="F284" s="30" t="str">
        <f>IF(OR(C283=1,C283=""),"",IF('Imperial Data'!$B$2,'Imperial Calcs'!E280,'Imperial Calcs'!G280))</f>
        <v/>
      </c>
      <c r="G284" s="30" t="str">
        <f>IF(OR(C283=1,C283=""),"",IF('Imperial Data'!$B$2,'Imperial Calcs'!F280,'Imperial Calcs'!J280))</f>
        <v/>
      </c>
      <c r="H284" s="30" t="str">
        <f>IF(OR(C283=1,C283=""),"",IF('Imperial Data'!$B$2,'Imperial Calcs'!G280,'Imperial Calcs'!M280))</f>
        <v/>
      </c>
      <c r="I284" s="30" t="str">
        <f>IF(C284="","",IF('Imperial Data'!$B$2,'Imperial Calcs'!J280,'Imperial Calcs'!Y280))</f>
        <v/>
      </c>
      <c r="J284" s="30" t="str">
        <f>IF('Imperial Data'!$B$2,'Imperial Calcs'!M280,"")</f>
        <v/>
      </c>
      <c r="K284" s="30"/>
      <c r="L284" s="37" t="str">
        <f>IF('Imperial Data'!$B$2,J284,H284)</f>
        <v/>
      </c>
      <c r="M284" s="112"/>
    </row>
    <row r="285" spans="1:13" x14ac:dyDescent="0.2">
      <c r="A285" s="32" t="str">
        <f t="shared" si="41"/>
        <v/>
      </c>
      <c r="C285" s="35" t="str">
        <f>IF(OR(C284=1,C284=""),"",'Imperial Calcs'!B281)</f>
        <v/>
      </c>
      <c r="D285" s="30" t="str">
        <f>IF(C285="","",'Imperial Calcs'!C281)</f>
        <v/>
      </c>
      <c r="E285" s="30" t="str">
        <f>IF(OR(C284=1,C284=""),"",IF('Imperial Data'!$B$2,'Imperial Calcs'!D281,'Imperial Calcs'!E281))</f>
        <v/>
      </c>
      <c r="F285" s="30" t="str">
        <f>IF(OR(C284=1,C284=""),"",IF('Imperial Data'!$B$2,'Imperial Calcs'!E281,'Imperial Calcs'!G281))</f>
        <v/>
      </c>
      <c r="G285" s="30" t="str">
        <f>IF(OR(C284=1,C284=""),"",IF('Imperial Data'!$B$2,'Imperial Calcs'!F281,'Imperial Calcs'!J281))</f>
        <v/>
      </c>
      <c r="H285" s="30" t="str">
        <f>IF(OR(C284=1,C284=""),"",IF('Imperial Data'!$B$2,'Imperial Calcs'!G281,'Imperial Calcs'!M281))</f>
        <v/>
      </c>
      <c r="I285" s="30" t="str">
        <f>IF(C285="","",IF('Imperial Data'!$B$2,'Imperial Calcs'!J281,'Imperial Calcs'!Y281))</f>
        <v/>
      </c>
      <c r="J285" s="30" t="str">
        <f>IF('Imperial Data'!$B$2,'Imperial Calcs'!M281,"")</f>
        <v/>
      </c>
      <c r="K285" s="30"/>
      <c r="L285" s="37" t="str">
        <f>IF('Imperial Data'!$B$2,J285,H285)</f>
        <v/>
      </c>
      <c r="M285" s="112"/>
    </row>
    <row r="286" spans="1:13" x14ac:dyDescent="0.2">
      <c r="A286" s="32" t="str">
        <f t="shared" si="41"/>
        <v/>
      </c>
      <c r="C286" s="35" t="str">
        <f>IF(OR(C285=1,C285=""),"",'Imperial Calcs'!B282)</f>
        <v/>
      </c>
      <c r="D286" s="30" t="str">
        <f>IF(C286="","",'Imperial Calcs'!C282)</f>
        <v/>
      </c>
      <c r="E286" s="30" t="str">
        <f>IF(OR(C285=1,C285=""),"",IF('Imperial Data'!$B$2,'Imperial Calcs'!D282,'Imperial Calcs'!E282))</f>
        <v/>
      </c>
      <c r="F286" s="30" t="str">
        <f>IF(OR(C285=1,C285=""),"",IF('Imperial Data'!$B$2,'Imperial Calcs'!E282,'Imperial Calcs'!G282))</f>
        <v/>
      </c>
      <c r="G286" s="30" t="str">
        <f>IF(OR(C285=1,C285=""),"",IF('Imperial Data'!$B$2,'Imperial Calcs'!F282,'Imperial Calcs'!J282))</f>
        <v/>
      </c>
      <c r="H286" s="30" t="str">
        <f>IF(OR(C285=1,C285=""),"",IF('Imperial Data'!$B$2,'Imperial Calcs'!G282,'Imperial Calcs'!M282))</f>
        <v/>
      </c>
      <c r="I286" s="30" t="str">
        <f>IF(C286="","",IF('Imperial Data'!$B$2,'Imperial Calcs'!J282,'Imperial Calcs'!Y282))</f>
        <v/>
      </c>
      <c r="J286" s="30" t="str">
        <f>IF('Imperial Data'!$B$2,'Imperial Calcs'!M282,"")</f>
        <v/>
      </c>
      <c r="K286" s="30"/>
      <c r="L286" s="37" t="str">
        <f>IF('Imperial Data'!$B$2,J286,H286)</f>
        <v/>
      </c>
      <c r="M286" s="112"/>
    </row>
    <row r="287" spans="1:13" x14ac:dyDescent="0.2">
      <c r="A287" s="32" t="str">
        <f t="shared" si="41"/>
        <v/>
      </c>
      <c r="C287" s="35" t="str">
        <f>IF(OR(C286=1,C286=""),"",'Imperial Calcs'!B283)</f>
        <v/>
      </c>
      <c r="D287" s="30" t="str">
        <f>IF(C287="","",'Imperial Calcs'!C283)</f>
        <v/>
      </c>
      <c r="E287" s="30" t="str">
        <f>IF(OR(C286=1,C286=""),"",IF('Imperial Data'!$B$2,'Imperial Calcs'!D283,'Imperial Calcs'!E283))</f>
        <v/>
      </c>
      <c r="F287" s="30" t="str">
        <f>IF(OR(C286=1,C286=""),"",IF('Imperial Data'!$B$2,'Imperial Calcs'!E283,'Imperial Calcs'!G283))</f>
        <v/>
      </c>
      <c r="G287" s="30" t="str">
        <f>IF(OR(C286=1,C286=""),"",IF('Imperial Data'!$B$2,'Imperial Calcs'!F283,'Imperial Calcs'!J283))</f>
        <v/>
      </c>
      <c r="H287" s="30" t="str">
        <f>IF(OR(C286=1,C286=""),"",IF('Imperial Data'!$B$2,'Imperial Calcs'!G283,'Imperial Calcs'!M283))</f>
        <v/>
      </c>
      <c r="I287" s="30" t="str">
        <f>IF(C287="","",IF('Imperial Data'!$B$2,'Imperial Calcs'!J283,'Imperial Calcs'!Y283))</f>
        <v/>
      </c>
      <c r="J287" s="30" t="str">
        <f>IF('Imperial Data'!$B$2,'Imperial Calcs'!M283,"")</f>
        <v/>
      </c>
      <c r="K287" s="30"/>
      <c r="L287" s="37" t="str">
        <f>IF('Imperial Data'!$B$2,J287,H287)</f>
        <v/>
      </c>
      <c r="M287" s="112"/>
    </row>
    <row r="288" spans="1:13" x14ac:dyDescent="0.2">
      <c r="A288" s="32" t="str">
        <f t="shared" si="41"/>
        <v/>
      </c>
      <c r="C288" s="35" t="str">
        <f>IF(OR(C287=1,C287=""),"",'Imperial Calcs'!B284)</f>
        <v/>
      </c>
      <c r="D288" s="30" t="str">
        <f>IF(C288="","",'Imperial Calcs'!C284)</f>
        <v/>
      </c>
      <c r="E288" s="30" t="str">
        <f>IF(OR(C287=1,C287=""),"",IF('Imperial Data'!$B$2,'Imperial Calcs'!D284,'Imperial Calcs'!E284))</f>
        <v/>
      </c>
      <c r="F288" s="30" t="str">
        <f>IF(OR(C287=1,C287=""),"",IF('Imperial Data'!$B$2,'Imperial Calcs'!E284,'Imperial Calcs'!G284))</f>
        <v/>
      </c>
      <c r="G288" s="30" t="str">
        <f>IF(OR(C287=1,C287=""),"",IF('Imperial Data'!$B$2,'Imperial Calcs'!F284,'Imperial Calcs'!J284))</f>
        <v/>
      </c>
      <c r="H288" s="30" t="str">
        <f>IF(OR(C287=1,C287=""),"",IF('Imperial Data'!$B$2,'Imperial Calcs'!G284,'Imperial Calcs'!M284))</f>
        <v/>
      </c>
      <c r="I288" s="30" t="str">
        <f>IF(C288="","",IF('Imperial Data'!$B$2,'Imperial Calcs'!J284,'Imperial Calcs'!Y284))</f>
        <v/>
      </c>
      <c r="J288" s="30" t="str">
        <f>IF('Imperial Data'!$B$2,'Imperial Calcs'!M284,"")</f>
        <v/>
      </c>
      <c r="K288" s="30"/>
      <c r="L288" s="37" t="str">
        <f>IF('Imperial Data'!$B$2,J288,H288)</f>
        <v/>
      </c>
      <c r="M288" s="112"/>
    </row>
    <row r="289" spans="1:13" x14ac:dyDescent="0.2">
      <c r="A289" s="32" t="str">
        <f t="shared" si="41"/>
        <v/>
      </c>
      <c r="C289" s="35" t="str">
        <f>IF(OR(C288=1,C288=""),"",'Imperial Calcs'!B285)</f>
        <v/>
      </c>
      <c r="D289" s="30" t="str">
        <f>IF(C289="","",'Imperial Calcs'!C285)</f>
        <v/>
      </c>
      <c r="E289" s="30" t="str">
        <f>IF(OR(C288=1,C288=""),"",IF('Imperial Data'!$B$2,'Imperial Calcs'!D285,'Imperial Calcs'!E285))</f>
        <v/>
      </c>
      <c r="F289" s="30" t="str">
        <f>IF(OR(C288=1,C288=""),"",IF('Imperial Data'!$B$2,'Imperial Calcs'!E285,'Imperial Calcs'!G285))</f>
        <v/>
      </c>
      <c r="G289" s="30" t="str">
        <f>IF(OR(C288=1,C288=""),"",IF('Imperial Data'!$B$2,'Imperial Calcs'!F285,'Imperial Calcs'!J285))</f>
        <v/>
      </c>
      <c r="H289" s="30" t="str">
        <f>IF(OR(C288=1,C288=""),"",IF('Imperial Data'!$B$2,'Imperial Calcs'!G285,'Imperial Calcs'!M285))</f>
        <v/>
      </c>
      <c r="I289" s="30" t="str">
        <f>IF(C289="","",IF('Imperial Data'!$B$2,'Imperial Calcs'!J285,'Imperial Calcs'!Y285))</f>
        <v/>
      </c>
      <c r="J289" s="30" t="str">
        <f>IF('Imperial Data'!$B$2,'Imperial Calcs'!M285,"")</f>
        <v/>
      </c>
      <c r="K289" s="30"/>
      <c r="L289" s="37" t="str">
        <f>IF('Imperial Data'!$B$2,J289,H289)</f>
        <v/>
      </c>
      <c r="M289" s="112"/>
    </row>
    <row r="290" spans="1:13" x14ac:dyDescent="0.2">
      <c r="A290" s="32" t="str">
        <f t="shared" si="41"/>
        <v/>
      </c>
      <c r="C290" s="35" t="str">
        <f>IF(OR(C289=1,C289=""),"",'Imperial Calcs'!B286)</f>
        <v/>
      </c>
      <c r="D290" s="30" t="str">
        <f>IF(C290="","",'Imperial Calcs'!C286)</f>
        <v/>
      </c>
      <c r="E290" s="30" t="str">
        <f>IF(OR(C289=1,C289=""),"",IF('Imperial Data'!$B$2,'Imperial Calcs'!D286,'Imperial Calcs'!E286))</f>
        <v/>
      </c>
      <c r="F290" s="30" t="str">
        <f>IF(OR(C289=1,C289=""),"",IF('Imperial Data'!$B$2,'Imperial Calcs'!E286,'Imperial Calcs'!G286))</f>
        <v/>
      </c>
      <c r="G290" s="30" t="str">
        <f>IF(OR(C289=1,C289=""),"",IF('Imperial Data'!$B$2,'Imperial Calcs'!F286,'Imperial Calcs'!J286))</f>
        <v/>
      </c>
      <c r="H290" s="30" t="str">
        <f>IF(OR(C289=1,C289=""),"",IF('Imperial Data'!$B$2,'Imperial Calcs'!G286,'Imperial Calcs'!M286))</f>
        <v/>
      </c>
      <c r="I290" s="30" t="str">
        <f>IF(C290="","",IF('Imperial Data'!$B$2,'Imperial Calcs'!J286,'Imperial Calcs'!Y286))</f>
        <v/>
      </c>
      <c r="J290" s="30" t="str">
        <f>IF('Imperial Data'!$B$2,'Imperial Calcs'!M286,"")</f>
        <v/>
      </c>
      <c r="K290" s="30"/>
      <c r="L290" s="37" t="str">
        <f>IF('Imperial Data'!$B$2,J290,H290)</f>
        <v/>
      </c>
      <c r="M290" s="112"/>
    </row>
    <row r="291" spans="1:13" x14ac:dyDescent="0.2">
      <c r="A291" s="32" t="str">
        <f t="shared" si="41"/>
        <v/>
      </c>
      <c r="C291" s="35" t="str">
        <f>IF(OR(C290=1,C290=""),"",'Imperial Calcs'!B287)</f>
        <v/>
      </c>
      <c r="D291" s="30" t="str">
        <f>IF(C291="","",'Imperial Calcs'!C287)</f>
        <v/>
      </c>
      <c r="E291" s="30" t="str">
        <f>IF(OR(C290=1,C290=""),"",IF('Imperial Data'!$B$2,'Imperial Calcs'!D287,'Imperial Calcs'!E287))</f>
        <v/>
      </c>
      <c r="F291" s="30" t="str">
        <f>IF(OR(C290=1,C290=""),"",IF('Imperial Data'!$B$2,'Imperial Calcs'!E287,'Imperial Calcs'!G287))</f>
        <v/>
      </c>
      <c r="G291" s="30" t="str">
        <f>IF(OR(C290=1,C290=""),"",IF('Imperial Data'!$B$2,'Imperial Calcs'!F287,'Imperial Calcs'!J287))</f>
        <v/>
      </c>
      <c r="H291" s="30" t="str">
        <f>IF(OR(C290=1,C290=""),"",IF('Imperial Data'!$B$2,'Imperial Calcs'!G287,'Imperial Calcs'!M287))</f>
        <v/>
      </c>
      <c r="I291" s="30" t="str">
        <f>IF(C291="","",IF('Imperial Data'!$B$2,'Imperial Calcs'!J287,'Imperial Calcs'!Y287))</f>
        <v/>
      </c>
      <c r="J291" s="30" t="str">
        <f>IF('Imperial Data'!$B$2,'Imperial Calcs'!M287,"")</f>
        <v/>
      </c>
      <c r="K291" s="30"/>
      <c r="L291" s="37" t="str">
        <f>IF('Imperial Data'!$B$2,J291,H291)</f>
        <v/>
      </c>
      <c r="M291" s="112"/>
    </row>
    <row r="292" spans="1:13" x14ac:dyDescent="0.2">
      <c r="A292" s="32" t="str">
        <f t="shared" si="41"/>
        <v/>
      </c>
      <c r="C292" s="35" t="str">
        <f>IF(OR(C291=1,C291=""),"",'Imperial Calcs'!B288)</f>
        <v/>
      </c>
      <c r="D292" s="30" t="str">
        <f>IF(C292="","",'Imperial Calcs'!C288)</f>
        <v/>
      </c>
      <c r="E292" s="30" t="str">
        <f>IF(OR(C291=1,C291=""),"",IF('Imperial Data'!$B$2,'Imperial Calcs'!D288,'Imperial Calcs'!E288))</f>
        <v/>
      </c>
      <c r="F292" s="30" t="str">
        <f>IF(OR(C291=1,C291=""),"",IF('Imperial Data'!$B$2,'Imperial Calcs'!E288,'Imperial Calcs'!G288))</f>
        <v/>
      </c>
      <c r="G292" s="30" t="str">
        <f>IF(OR(C291=1,C291=""),"",IF('Imperial Data'!$B$2,'Imperial Calcs'!F288,'Imperial Calcs'!J288))</f>
        <v/>
      </c>
      <c r="H292" s="30" t="str">
        <f>IF(OR(C291=1,C291=""),"",IF('Imperial Data'!$B$2,'Imperial Calcs'!G288,'Imperial Calcs'!M288))</f>
        <v/>
      </c>
      <c r="I292" s="30" t="str">
        <f>IF(C292="","",IF('Imperial Data'!$B$2,'Imperial Calcs'!J288,'Imperial Calcs'!Y288))</f>
        <v/>
      </c>
      <c r="J292" s="30" t="str">
        <f>IF('Imperial Data'!$B$2,'Imperial Calcs'!M288,"")</f>
        <v/>
      </c>
      <c r="K292" s="30"/>
      <c r="L292" s="37" t="str">
        <f>IF('Imperial Data'!$B$2,J292,H292)</f>
        <v/>
      </c>
      <c r="M292" s="112"/>
    </row>
    <row r="293" spans="1:13" x14ac:dyDescent="0.2">
      <c r="A293" s="32" t="str">
        <f t="shared" si="41"/>
        <v/>
      </c>
      <c r="C293" s="35" t="str">
        <f>IF(OR(C292=1,C292=""),"",'Imperial Calcs'!B289)</f>
        <v/>
      </c>
      <c r="D293" s="30" t="str">
        <f>IF(C293="","",'Imperial Calcs'!C289)</f>
        <v/>
      </c>
      <c r="E293" s="30" t="str">
        <f>IF(OR(C292=1,C292=""),"",IF('Imperial Data'!$B$2,'Imperial Calcs'!D289,'Imperial Calcs'!E289))</f>
        <v/>
      </c>
      <c r="F293" s="30" t="str">
        <f>IF(OR(C292=1,C292=""),"",IF('Imperial Data'!$B$2,'Imperial Calcs'!E289,'Imperial Calcs'!G289))</f>
        <v/>
      </c>
      <c r="G293" s="30" t="str">
        <f>IF(OR(C292=1,C292=""),"",IF('Imperial Data'!$B$2,'Imperial Calcs'!F289,'Imperial Calcs'!J289))</f>
        <v/>
      </c>
      <c r="H293" s="30" t="str">
        <f>IF(OR(C292=1,C292=""),"",IF('Imperial Data'!$B$2,'Imperial Calcs'!G289,'Imperial Calcs'!M289))</f>
        <v/>
      </c>
      <c r="I293" s="30" t="str">
        <f>IF(C293="","",IF('Imperial Data'!$B$2,'Imperial Calcs'!J289,'Imperial Calcs'!Y289))</f>
        <v/>
      </c>
      <c r="J293" s="30" t="str">
        <f>IF('Imperial Data'!$B$2,'Imperial Calcs'!M289,"")</f>
        <v/>
      </c>
      <c r="K293" s="30"/>
      <c r="L293" s="37" t="str">
        <f>IF('Imperial Data'!$B$2,J293,H293)</f>
        <v/>
      </c>
      <c r="M293" s="112"/>
    </row>
    <row r="294" spans="1:13" x14ac:dyDescent="0.2">
      <c r="A294" s="32" t="str">
        <f t="shared" si="41"/>
        <v/>
      </c>
      <c r="C294" s="35" t="str">
        <f>IF(OR(C293=1,C293=""),"",'Imperial Calcs'!B290)</f>
        <v/>
      </c>
      <c r="D294" s="30" t="str">
        <f>IF(C294="","",'Imperial Calcs'!C290)</f>
        <v/>
      </c>
      <c r="E294" s="30" t="str">
        <f>IF(OR(C293=1,C293=""),"",IF('Imperial Data'!$B$2,'Imperial Calcs'!D290,'Imperial Calcs'!E290))</f>
        <v/>
      </c>
      <c r="F294" s="30" t="str">
        <f>IF(OR(C293=1,C293=""),"",IF('Imperial Data'!$B$2,'Imperial Calcs'!E290,'Imperial Calcs'!G290))</f>
        <v/>
      </c>
      <c r="G294" s="30" t="str">
        <f>IF(OR(C293=1,C293=""),"",IF('Imperial Data'!$B$2,'Imperial Calcs'!F290,'Imperial Calcs'!J290))</f>
        <v/>
      </c>
      <c r="H294" s="30" t="str">
        <f>IF(OR(C293=1,C293=""),"",IF('Imperial Data'!$B$2,'Imperial Calcs'!G290,'Imperial Calcs'!M290))</f>
        <v/>
      </c>
      <c r="I294" s="30" t="str">
        <f>IF(C294="","",IF('Imperial Data'!$B$2,'Imperial Calcs'!J290,'Imperial Calcs'!Y290))</f>
        <v/>
      </c>
      <c r="J294" s="30" t="str">
        <f>IF('Imperial Data'!$B$2,'Imperial Calcs'!M290,"")</f>
        <v/>
      </c>
      <c r="K294" s="30"/>
      <c r="L294" s="37" t="str">
        <f>IF('Imperial Data'!$B$2,J294,H294)</f>
        <v/>
      </c>
      <c r="M294" s="112"/>
    </row>
    <row r="295" spans="1:13" x14ac:dyDescent="0.2">
      <c r="A295" s="32" t="str">
        <f t="shared" si="41"/>
        <v/>
      </c>
      <c r="C295" s="35" t="str">
        <f>IF(OR(C294=1,C294=""),"",'Imperial Calcs'!B291)</f>
        <v/>
      </c>
      <c r="D295" s="30" t="str">
        <f>IF(C295="","",'Imperial Calcs'!C291)</f>
        <v/>
      </c>
      <c r="E295" s="30" t="str">
        <f>IF(OR(C294=1,C294=""),"",IF('Imperial Data'!$B$2,'Imperial Calcs'!D291,'Imperial Calcs'!E291))</f>
        <v/>
      </c>
      <c r="F295" s="30" t="str">
        <f>IF(OR(C294=1,C294=""),"",IF('Imperial Data'!$B$2,'Imperial Calcs'!E291,'Imperial Calcs'!G291))</f>
        <v/>
      </c>
      <c r="G295" s="30" t="str">
        <f>IF(OR(C294=1,C294=""),"",IF('Imperial Data'!$B$2,'Imperial Calcs'!F291,'Imperial Calcs'!J291))</f>
        <v/>
      </c>
      <c r="H295" s="30" t="str">
        <f>IF(OR(C294=1,C294=""),"",IF('Imperial Data'!$B$2,'Imperial Calcs'!G291,'Imperial Calcs'!M291))</f>
        <v/>
      </c>
      <c r="I295" s="30" t="str">
        <f>IF(C295="","",IF('Imperial Data'!$B$2,'Imperial Calcs'!J291,'Imperial Calcs'!Y291))</f>
        <v/>
      </c>
      <c r="J295" s="30" t="str">
        <f>IF('Imperial Data'!$B$2,'Imperial Calcs'!M291,"")</f>
        <v/>
      </c>
      <c r="K295" s="30"/>
      <c r="L295" s="37" t="str">
        <f>IF('Imperial Data'!$B$2,J295,H295)</f>
        <v/>
      </c>
      <c r="M295" s="112"/>
    </row>
    <row r="296" spans="1:13" x14ac:dyDescent="0.2">
      <c r="A296" s="32" t="str">
        <f t="shared" si="41"/>
        <v/>
      </c>
      <c r="C296" s="35" t="str">
        <f>IF(OR(C295=1,C295=""),"",'Imperial Calcs'!B292)</f>
        <v/>
      </c>
      <c r="D296" s="30" t="str">
        <f>IF(C296="","",'Imperial Calcs'!C292)</f>
        <v/>
      </c>
      <c r="E296" s="30" t="str">
        <f>IF(OR(C295=1,C295=""),"",IF('Imperial Data'!$B$2,'Imperial Calcs'!D292,'Imperial Calcs'!E292))</f>
        <v/>
      </c>
      <c r="F296" s="30" t="str">
        <f>IF(OR(C295=1,C295=""),"",IF('Imperial Data'!$B$2,'Imperial Calcs'!E292,'Imperial Calcs'!G292))</f>
        <v/>
      </c>
      <c r="G296" s="30" t="str">
        <f>IF(OR(C295=1,C295=""),"",IF('Imperial Data'!$B$2,'Imperial Calcs'!F292,'Imperial Calcs'!J292))</f>
        <v/>
      </c>
      <c r="H296" s="30" t="str">
        <f>IF(OR(C295=1,C295=""),"",IF('Imperial Data'!$B$2,'Imperial Calcs'!G292,'Imperial Calcs'!M292))</f>
        <v/>
      </c>
      <c r="I296" s="30" t="str">
        <f>IF(C296="","",IF('Imperial Data'!$B$2,'Imperial Calcs'!J292,'Imperial Calcs'!Y292))</f>
        <v/>
      </c>
      <c r="J296" s="30" t="str">
        <f>IF('Imperial Data'!$B$2,'Imperial Calcs'!M292,"")</f>
        <v/>
      </c>
      <c r="K296" s="30"/>
      <c r="L296" s="37" t="str">
        <f>IF('Imperial Data'!$B$2,J296,H296)</f>
        <v/>
      </c>
      <c r="M296" s="112"/>
    </row>
    <row r="297" spans="1:13" x14ac:dyDescent="0.2">
      <c r="A297" s="32" t="str">
        <f t="shared" si="41"/>
        <v/>
      </c>
      <c r="C297" s="35" t="str">
        <f>IF(OR(C296=1,C296=""),"",'Imperial Calcs'!B293)</f>
        <v/>
      </c>
      <c r="D297" s="30" t="str">
        <f>IF(C297="","",'Imperial Calcs'!C293)</f>
        <v/>
      </c>
      <c r="E297" s="30" t="str">
        <f>IF(OR(C296=1,C296=""),"",IF('Imperial Data'!$B$2,'Imperial Calcs'!D293,'Imperial Calcs'!E293))</f>
        <v/>
      </c>
      <c r="F297" s="30" t="str">
        <f>IF(OR(C296=1,C296=""),"",IF('Imperial Data'!$B$2,'Imperial Calcs'!E293,'Imperial Calcs'!G293))</f>
        <v/>
      </c>
      <c r="G297" s="30" t="str">
        <f>IF(OR(C296=1,C296=""),"",IF('Imperial Data'!$B$2,'Imperial Calcs'!F293,'Imperial Calcs'!J293))</f>
        <v/>
      </c>
      <c r="H297" s="30" t="str">
        <f>IF(OR(C296=1,C296=""),"",IF('Imperial Data'!$B$2,'Imperial Calcs'!G293,'Imperial Calcs'!M293))</f>
        <v/>
      </c>
      <c r="I297" s="30" t="str">
        <f>IF(C297="","",IF('Imperial Data'!$B$2,'Imperial Calcs'!J293,'Imperial Calcs'!Y293))</f>
        <v/>
      </c>
      <c r="J297" s="30" t="str">
        <f>IF('Imperial Data'!$B$2,'Imperial Calcs'!M293,"")</f>
        <v/>
      </c>
      <c r="K297" s="30"/>
      <c r="L297" s="37" t="str">
        <f>IF('Imperial Data'!$B$2,J297,H297)</f>
        <v/>
      </c>
      <c r="M297" s="112"/>
    </row>
    <row r="298" spans="1:13" x14ac:dyDescent="0.2">
      <c r="A298" s="32" t="str">
        <f t="shared" si="41"/>
        <v/>
      </c>
      <c r="C298" s="35" t="str">
        <f>IF(OR(C297=1,C297=""),"",'Imperial Calcs'!B294)</f>
        <v/>
      </c>
      <c r="D298" s="30" t="str">
        <f>IF(C298="","",'Imperial Calcs'!C294)</f>
        <v/>
      </c>
      <c r="E298" s="30" t="str">
        <f>IF(OR(C297=1,C297=""),"",IF('Imperial Data'!$B$2,'Imperial Calcs'!D294,'Imperial Calcs'!E294))</f>
        <v/>
      </c>
      <c r="F298" s="30" t="str">
        <f>IF(OR(C297=1,C297=""),"",IF('Imperial Data'!$B$2,'Imperial Calcs'!E294,'Imperial Calcs'!G294))</f>
        <v/>
      </c>
      <c r="G298" s="30" t="str">
        <f>IF(OR(C297=1,C297=""),"",IF('Imperial Data'!$B$2,'Imperial Calcs'!F294,'Imperial Calcs'!J294))</f>
        <v/>
      </c>
      <c r="H298" s="30" t="str">
        <f>IF(OR(C297=1,C297=""),"",IF('Imperial Data'!$B$2,'Imperial Calcs'!G294,'Imperial Calcs'!M294))</f>
        <v/>
      </c>
      <c r="I298" s="30" t="str">
        <f>IF(C298="","",IF('Imperial Data'!$B$2,'Imperial Calcs'!J294,'Imperial Calcs'!Y294))</f>
        <v/>
      </c>
      <c r="J298" s="30" t="str">
        <f>IF('Imperial Data'!$B$2,'Imperial Calcs'!M294,"")</f>
        <v/>
      </c>
      <c r="K298" s="30"/>
      <c r="L298" s="37" t="str">
        <f>IF('Imperial Data'!$B$2,J298,H298)</f>
        <v/>
      </c>
      <c r="M298" s="112"/>
    </row>
    <row r="299" spans="1:13" x14ac:dyDescent="0.2">
      <c r="A299" s="32" t="str">
        <f t="shared" si="41"/>
        <v/>
      </c>
      <c r="C299" s="35" t="str">
        <f>IF(OR(C298=1,C298=""),"",'Imperial Calcs'!B295)</f>
        <v/>
      </c>
      <c r="D299" s="30" t="str">
        <f>IF(C299="","",'Imperial Calcs'!C295)</f>
        <v/>
      </c>
      <c r="E299" s="30" t="str">
        <f>IF(OR(C298=1,C298=""),"",IF('Imperial Data'!$B$2,'Imperial Calcs'!D295,'Imperial Calcs'!E295))</f>
        <v/>
      </c>
      <c r="F299" s="30" t="str">
        <f>IF(OR(C298=1,C298=""),"",IF('Imperial Data'!$B$2,'Imperial Calcs'!E295,'Imperial Calcs'!G295))</f>
        <v/>
      </c>
      <c r="G299" s="30" t="str">
        <f>IF(OR(C298=1,C298=""),"",IF('Imperial Data'!$B$2,'Imperial Calcs'!F295,'Imperial Calcs'!J295))</f>
        <v/>
      </c>
      <c r="H299" s="30" t="str">
        <f>IF(OR(C298=1,C298=""),"",IF('Imperial Data'!$B$2,'Imperial Calcs'!G295,'Imperial Calcs'!M295))</f>
        <v/>
      </c>
      <c r="I299" s="30" t="str">
        <f>IF(C299="","",IF('Imperial Data'!$B$2,'Imperial Calcs'!J295,'Imperial Calcs'!Y295))</f>
        <v/>
      </c>
      <c r="J299" s="30" t="str">
        <f>IF('Imperial Data'!$B$2,'Imperial Calcs'!M295,"")</f>
        <v/>
      </c>
      <c r="K299" s="30"/>
      <c r="L299" s="37" t="str">
        <f>IF('Imperial Data'!$B$2,J299,H299)</f>
        <v/>
      </c>
      <c r="M299" s="112"/>
    </row>
    <row r="300" spans="1:13" x14ac:dyDescent="0.2">
      <c r="A300" s="32" t="str">
        <f t="shared" si="41"/>
        <v/>
      </c>
      <c r="C300" s="35" t="str">
        <f>IF(OR(C299=1,C299=""),"",'Imperial Calcs'!B296)</f>
        <v/>
      </c>
      <c r="D300" s="30" t="str">
        <f>IF(C300="","",'Imperial Calcs'!C296)</f>
        <v/>
      </c>
      <c r="E300" s="30" t="str">
        <f>IF(OR(C299=1,C299=""),"",IF('Imperial Data'!$B$2,'Imperial Calcs'!D296,'Imperial Calcs'!E296))</f>
        <v/>
      </c>
      <c r="F300" s="30" t="str">
        <f>IF(OR(C299=1,C299=""),"",IF('Imperial Data'!$B$2,'Imperial Calcs'!E296,'Imperial Calcs'!G296))</f>
        <v/>
      </c>
      <c r="G300" s="30" t="str">
        <f>IF(OR(C299=1,C299=""),"",IF('Imperial Data'!$B$2,'Imperial Calcs'!F296,'Imperial Calcs'!J296))</f>
        <v/>
      </c>
      <c r="H300" s="30" t="str">
        <f>IF(OR(C299=1,C299=""),"",IF('Imperial Data'!$B$2,'Imperial Calcs'!G296,'Imperial Calcs'!M296))</f>
        <v/>
      </c>
      <c r="I300" s="30" t="str">
        <f>IF(C300="","",IF('Imperial Data'!$B$2,'Imperial Calcs'!J296,'Imperial Calcs'!Y296))</f>
        <v/>
      </c>
      <c r="J300" s="30" t="str">
        <f>IF('Imperial Data'!$B$2,'Imperial Calcs'!M296,"")</f>
        <v/>
      </c>
      <c r="K300" s="30"/>
      <c r="L300" s="37" t="str">
        <f>IF('Imperial Data'!$B$2,J300,H300)</f>
        <v/>
      </c>
      <c r="M300" s="112"/>
    </row>
    <row r="301" spans="1:13" x14ac:dyDescent="0.2">
      <c r="A301" s="32" t="str">
        <f t="shared" si="41"/>
        <v/>
      </c>
      <c r="C301" s="35" t="str">
        <f>IF(OR(C300=1,C300=""),"",'Imperial Calcs'!B297)</f>
        <v/>
      </c>
      <c r="D301" s="30" t="str">
        <f>IF(C301="","",'Imperial Calcs'!C297)</f>
        <v/>
      </c>
      <c r="E301" s="30" t="str">
        <f>IF(OR(C300=1,C300=""),"",IF('Imperial Data'!$B$2,'Imperial Calcs'!D297,'Imperial Calcs'!E297))</f>
        <v/>
      </c>
      <c r="F301" s="30" t="str">
        <f>IF(OR(C300=1,C300=""),"",IF('Imperial Data'!$B$2,'Imperial Calcs'!E297,'Imperial Calcs'!G297))</f>
        <v/>
      </c>
      <c r="G301" s="30" t="str">
        <f>IF(OR(C300=1,C300=""),"",IF('Imperial Data'!$B$2,'Imperial Calcs'!F297,'Imperial Calcs'!J297))</f>
        <v/>
      </c>
      <c r="H301" s="30" t="str">
        <f>IF(OR(C300=1,C300=""),"",IF('Imperial Data'!$B$2,'Imperial Calcs'!G297,'Imperial Calcs'!M297))</f>
        <v/>
      </c>
      <c r="I301" s="30" t="str">
        <f>IF(C301="","",IF('Imperial Data'!$B$2,'Imperial Calcs'!J297,'Imperial Calcs'!Y297))</f>
        <v/>
      </c>
      <c r="J301" s="30" t="str">
        <f>IF('Imperial Data'!$B$2,'Imperial Calcs'!M297,"")</f>
        <v/>
      </c>
      <c r="K301" s="30"/>
      <c r="L301" s="37" t="str">
        <f>IF('Imperial Data'!$B$2,J301,H301)</f>
        <v/>
      </c>
      <c r="M301" s="112"/>
    </row>
    <row r="302" spans="1:13" x14ac:dyDescent="0.2">
      <c r="A302" s="32" t="str">
        <f t="shared" si="41"/>
        <v/>
      </c>
      <c r="C302" s="35" t="str">
        <f>IF(OR(C301=1,C301=""),"",'Imperial Calcs'!B298)</f>
        <v/>
      </c>
      <c r="D302" s="30" t="str">
        <f>IF(C302="","",'Imperial Calcs'!C298)</f>
        <v/>
      </c>
      <c r="E302" s="30" t="str">
        <f>IF(OR(C301=1,C301=""),"",IF('Imperial Data'!$B$2,'Imperial Calcs'!D298,'Imperial Calcs'!E298))</f>
        <v/>
      </c>
      <c r="F302" s="30" t="str">
        <f>IF(OR(C301=1,C301=""),"",IF('Imperial Data'!$B$2,'Imperial Calcs'!E298,'Imperial Calcs'!G298))</f>
        <v/>
      </c>
      <c r="G302" s="30" t="str">
        <f>IF(OR(C301=1,C301=""),"",IF('Imperial Data'!$B$2,'Imperial Calcs'!F298,'Imperial Calcs'!J298))</f>
        <v/>
      </c>
      <c r="H302" s="30" t="str">
        <f>IF(OR(C301=1,C301=""),"",IF('Imperial Data'!$B$2,'Imperial Calcs'!G298,'Imperial Calcs'!M298))</f>
        <v/>
      </c>
      <c r="I302" s="30" t="str">
        <f>IF(C302="","",IF('Imperial Data'!$B$2,'Imperial Calcs'!J298,'Imperial Calcs'!Y298))</f>
        <v/>
      </c>
      <c r="J302" s="30" t="str">
        <f>IF('Imperial Data'!$B$2,'Imperial Calcs'!M298,"")</f>
        <v/>
      </c>
      <c r="K302" s="30"/>
      <c r="L302" s="37" t="str">
        <f>IF('Imperial Data'!$B$2,J302,H302)</f>
        <v/>
      </c>
      <c r="M302" s="112"/>
    </row>
    <row r="303" spans="1:13" x14ac:dyDescent="0.2">
      <c r="A303" s="32" t="str">
        <f t="shared" si="41"/>
        <v/>
      </c>
      <c r="C303" s="35" t="str">
        <f>IF(OR(C302=1,C302=""),"",'Imperial Calcs'!B299)</f>
        <v/>
      </c>
      <c r="D303" s="30" t="str">
        <f>IF(C303="","",'Imperial Calcs'!C299)</f>
        <v/>
      </c>
      <c r="E303" s="30" t="str">
        <f>IF(OR(C302=1,C302=""),"",IF('Imperial Data'!$B$2,'Imperial Calcs'!D299,'Imperial Calcs'!E299))</f>
        <v/>
      </c>
      <c r="F303" s="30" t="str">
        <f>IF(OR(C302=1,C302=""),"",IF('Imperial Data'!$B$2,'Imperial Calcs'!E299,'Imperial Calcs'!G299))</f>
        <v/>
      </c>
      <c r="G303" s="30" t="str">
        <f>IF(OR(C302=1,C302=""),"",IF('Imperial Data'!$B$2,'Imperial Calcs'!F299,'Imperial Calcs'!J299))</f>
        <v/>
      </c>
      <c r="H303" s="30" t="str">
        <f>IF(OR(C302=1,C302=""),"",IF('Imperial Data'!$B$2,'Imperial Calcs'!G299,'Imperial Calcs'!M299))</f>
        <v/>
      </c>
      <c r="I303" s="30" t="str">
        <f>IF(C303="","",IF('Imperial Data'!$B$2,'Imperial Calcs'!J299,'Imperial Calcs'!Y299))</f>
        <v/>
      </c>
      <c r="J303" s="30" t="str">
        <f>IF('Imperial Data'!$B$2,'Imperial Calcs'!M299,"")</f>
        <v/>
      </c>
      <c r="K303" s="30"/>
      <c r="L303" s="37" t="str">
        <f>IF('Imperial Data'!$B$2,J303,H303)</f>
        <v/>
      </c>
      <c r="M303" s="112"/>
    </row>
    <row r="304" spans="1:13" x14ac:dyDescent="0.2">
      <c r="A304" s="32" t="str">
        <f t="shared" si="41"/>
        <v/>
      </c>
      <c r="C304" s="35" t="str">
        <f>IF(OR(C303=1,C303=""),"",'Imperial Calcs'!B300)</f>
        <v/>
      </c>
      <c r="D304" s="30" t="str">
        <f>IF(C304="","",'Imperial Calcs'!C300)</f>
        <v/>
      </c>
      <c r="E304" s="30" t="str">
        <f>IF(OR(C303=1,C303=""),"",IF('Imperial Data'!$B$2,'Imperial Calcs'!D300,'Imperial Calcs'!E300))</f>
        <v/>
      </c>
      <c r="F304" s="30" t="str">
        <f>IF(OR(C303=1,C303=""),"",IF('Imperial Data'!$B$2,'Imperial Calcs'!E300,'Imperial Calcs'!G300))</f>
        <v/>
      </c>
      <c r="G304" s="30" t="str">
        <f>IF(OR(C303=1,C303=""),"",IF('Imperial Data'!$B$2,'Imperial Calcs'!F300,'Imperial Calcs'!J300))</f>
        <v/>
      </c>
      <c r="H304" s="30" t="str">
        <f>IF(OR(C303=1,C303=""),"",IF('Imperial Data'!$B$2,'Imperial Calcs'!G300,'Imperial Calcs'!M300))</f>
        <v/>
      </c>
      <c r="I304" s="30" t="str">
        <f>IF(C304="","",IF('Imperial Data'!$B$2,'Imperial Calcs'!J300,'Imperial Calcs'!Y300))</f>
        <v/>
      </c>
      <c r="J304" s="30" t="str">
        <f>IF('Imperial Data'!$B$2,'Imperial Calcs'!M300,"")</f>
        <v/>
      </c>
      <c r="K304" s="30"/>
      <c r="L304" s="37" t="str">
        <f>IF('Imperial Data'!$B$2,J304,H304)</f>
        <v/>
      </c>
      <c r="M304" s="112"/>
    </row>
    <row r="305" spans="1:13" x14ac:dyDescent="0.2">
      <c r="A305" s="32" t="str">
        <f t="shared" si="41"/>
        <v/>
      </c>
      <c r="C305" s="35" t="str">
        <f>IF(OR(C304=1,C304=""),"",'Imperial Calcs'!B301)</f>
        <v/>
      </c>
      <c r="D305" s="30" t="str">
        <f>IF(C305="","",'Imperial Calcs'!C301)</f>
        <v/>
      </c>
      <c r="E305" s="30" t="str">
        <f>IF(OR(C304=1,C304=""),"",IF('Imperial Data'!$B$2,'Imperial Calcs'!D301,'Imperial Calcs'!E301))</f>
        <v/>
      </c>
      <c r="F305" s="30" t="str">
        <f>IF(OR(C304=1,C304=""),"",IF('Imperial Data'!$B$2,'Imperial Calcs'!E301,'Imperial Calcs'!G301))</f>
        <v/>
      </c>
      <c r="G305" s="30" t="str">
        <f>IF(OR(C304=1,C304=""),"",IF('Imperial Data'!$B$2,'Imperial Calcs'!F301,'Imperial Calcs'!J301))</f>
        <v/>
      </c>
      <c r="H305" s="30" t="str">
        <f>IF(OR(C304=1,C304=""),"",IF('Imperial Data'!$B$2,'Imperial Calcs'!G301,'Imperial Calcs'!M301))</f>
        <v/>
      </c>
      <c r="I305" s="30" t="str">
        <f>IF(C305="","",IF('Imperial Data'!$B$2,'Imperial Calcs'!J301,'Imperial Calcs'!Y301))</f>
        <v/>
      </c>
      <c r="J305" s="30" t="str">
        <f>IF('Imperial Data'!$B$2,'Imperial Calcs'!M301,"")</f>
        <v/>
      </c>
      <c r="K305" s="30"/>
      <c r="L305" s="37" t="str">
        <f>IF('Imperial Data'!$B$2,J305,H305)</f>
        <v/>
      </c>
      <c r="M305" s="112"/>
    </row>
    <row r="306" spans="1:13" x14ac:dyDescent="0.2">
      <c r="A306" s="32" t="str">
        <f t="shared" si="41"/>
        <v/>
      </c>
      <c r="C306" s="35" t="str">
        <f>IF(OR(C305=1,C305=""),"",'Imperial Calcs'!B302)</f>
        <v/>
      </c>
      <c r="D306" s="30" t="str">
        <f>IF(C306="","",'Imperial Calcs'!C302)</f>
        <v/>
      </c>
      <c r="E306" s="30" t="str">
        <f>IF(OR(C305=1,C305=""),"",IF('Imperial Data'!$B$2,'Imperial Calcs'!D302,'Imperial Calcs'!E302))</f>
        <v/>
      </c>
      <c r="F306" s="30" t="str">
        <f>IF(OR(C305=1,C305=""),"",IF('Imperial Data'!$B$2,'Imperial Calcs'!E302,'Imperial Calcs'!G302))</f>
        <v/>
      </c>
      <c r="G306" s="30" t="str">
        <f>IF(OR(C305=1,C305=""),"",IF('Imperial Data'!$B$2,'Imperial Calcs'!F302,'Imperial Calcs'!J302))</f>
        <v/>
      </c>
      <c r="H306" s="30" t="str">
        <f>IF(OR(C305=1,C305=""),"",IF('Imperial Data'!$B$2,'Imperial Calcs'!G302,'Imperial Calcs'!M302))</f>
        <v/>
      </c>
      <c r="I306" s="30" t="str">
        <f>IF(C306="","",IF('Imperial Data'!$B$2,'Imperial Calcs'!J302,'Imperial Calcs'!Y302))</f>
        <v/>
      </c>
      <c r="J306" s="30" t="str">
        <f>IF('Imperial Data'!$B$2,'Imperial Calcs'!M302,"")</f>
        <v/>
      </c>
      <c r="K306" s="30"/>
      <c r="L306" s="37" t="str">
        <f>IF('Imperial Data'!$B$2,J306,H306)</f>
        <v/>
      </c>
      <c r="M306" s="112"/>
    </row>
    <row r="307" spans="1:13" x14ac:dyDescent="0.2">
      <c r="A307" s="32" t="str">
        <f t="shared" si="41"/>
        <v/>
      </c>
      <c r="C307" s="35" t="str">
        <f>IF(OR(C306=1,C306=""),"",'Imperial Calcs'!B303)</f>
        <v/>
      </c>
      <c r="D307" s="30" t="str">
        <f>IF(C307="","",'Imperial Calcs'!C303)</f>
        <v/>
      </c>
      <c r="E307" s="30" t="str">
        <f>IF(OR(C306=1,C306=""),"",IF('Imperial Data'!$B$2,'Imperial Calcs'!D303,'Imperial Calcs'!E303))</f>
        <v/>
      </c>
      <c r="F307" s="30" t="str">
        <f>IF(OR(C306=1,C306=""),"",IF('Imperial Data'!$B$2,'Imperial Calcs'!E303,'Imperial Calcs'!G303))</f>
        <v/>
      </c>
      <c r="G307" s="30" t="str">
        <f>IF(OR(C306=1,C306=""),"",IF('Imperial Data'!$B$2,'Imperial Calcs'!F303,'Imperial Calcs'!J303))</f>
        <v/>
      </c>
      <c r="H307" s="30" t="str">
        <f>IF(OR(C306=1,C306=""),"",IF('Imperial Data'!$B$2,'Imperial Calcs'!G303,'Imperial Calcs'!M303))</f>
        <v/>
      </c>
      <c r="I307" s="30" t="str">
        <f>IF(C307="","",IF('Imperial Data'!$B$2,'Imperial Calcs'!J303,'Imperial Calcs'!Y303))</f>
        <v/>
      </c>
      <c r="J307" s="30" t="str">
        <f>IF('Imperial Data'!$B$2,'Imperial Calcs'!M303,"")</f>
        <v/>
      </c>
      <c r="K307" s="30"/>
      <c r="L307" s="37" t="str">
        <f>IF('Imperial Data'!$B$2,J307,H307)</f>
        <v/>
      </c>
      <c r="M307" s="112"/>
    </row>
    <row r="308" spans="1:13" x14ac:dyDescent="0.2">
      <c r="A308" s="32" t="str">
        <f t="shared" si="41"/>
        <v/>
      </c>
      <c r="C308" s="35" t="str">
        <f>IF(OR(C307=1,C307=""),"",'Imperial Calcs'!B304)</f>
        <v/>
      </c>
      <c r="D308" s="30" t="str">
        <f>IF(C308="","",'Imperial Calcs'!C304)</f>
        <v/>
      </c>
      <c r="E308" s="30" t="str">
        <f>IF(OR(C307=1,C307=""),"",IF('Imperial Data'!$B$2,'Imperial Calcs'!D304,'Imperial Calcs'!E304))</f>
        <v/>
      </c>
      <c r="F308" s="30" t="str">
        <f>IF(OR(C307=1,C307=""),"",IF('Imperial Data'!$B$2,'Imperial Calcs'!E304,'Imperial Calcs'!G304))</f>
        <v/>
      </c>
      <c r="G308" s="30" t="str">
        <f>IF(OR(C307=1,C307=""),"",IF('Imperial Data'!$B$2,'Imperial Calcs'!F304,'Imperial Calcs'!J304))</f>
        <v/>
      </c>
      <c r="H308" s="30" t="str">
        <f>IF(OR(C307=1,C307=""),"",IF('Imperial Data'!$B$2,'Imperial Calcs'!G304,'Imperial Calcs'!M304))</f>
        <v/>
      </c>
      <c r="I308" s="30" t="str">
        <f>IF(C308="","",IF('Imperial Data'!$B$2,'Imperial Calcs'!J304,'Imperial Calcs'!Y304))</f>
        <v/>
      </c>
      <c r="J308" s="30" t="str">
        <f>IF('Imperial Data'!$B$2,'Imperial Calcs'!M304,"")</f>
        <v/>
      </c>
      <c r="K308" s="30"/>
      <c r="L308" s="37" t="str">
        <f>IF('Imperial Data'!$B$2,J308,H308)</f>
        <v/>
      </c>
      <c r="M308" s="112"/>
    </row>
    <row r="309" spans="1:13" x14ac:dyDescent="0.2">
      <c r="A309" s="32" t="str">
        <f t="shared" si="41"/>
        <v/>
      </c>
      <c r="C309" s="35" t="str">
        <f>IF(OR(C308=1,C308=""),"",'Imperial Calcs'!B305)</f>
        <v/>
      </c>
      <c r="D309" s="30" t="str">
        <f>IF(C309="","",'Imperial Calcs'!C305)</f>
        <v/>
      </c>
      <c r="E309" s="30" t="str">
        <f>IF(OR(C308=1,C308=""),"",IF('Imperial Data'!$B$2,'Imperial Calcs'!D305,'Imperial Calcs'!E305))</f>
        <v/>
      </c>
      <c r="F309" s="30" t="str">
        <f>IF(OR(C308=1,C308=""),"",IF('Imperial Data'!$B$2,'Imperial Calcs'!E305,'Imperial Calcs'!G305))</f>
        <v/>
      </c>
      <c r="G309" s="30" t="str">
        <f>IF(OR(C308=1,C308=""),"",IF('Imperial Data'!$B$2,'Imperial Calcs'!F305,'Imperial Calcs'!J305))</f>
        <v/>
      </c>
      <c r="H309" s="30" t="str">
        <f>IF(OR(C308=1,C308=""),"",IF('Imperial Data'!$B$2,'Imperial Calcs'!G305,'Imperial Calcs'!M305))</f>
        <v/>
      </c>
      <c r="I309" s="30" t="str">
        <f>IF(C309="","",IF('Imperial Data'!$B$2,'Imperial Calcs'!J305,'Imperial Calcs'!Y305))</f>
        <v/>
      </c>
      <c r="J309" s="30" t="str">
        <f>IF('Imperial Data'!$B$2,'Imperial Calcs'!M305,"")</f>
        <v/>
      </c>
      <c r="K309" s="30"/>
      <c r="L309" s="37" t="str">
        <f>IF('Imperial Data'!$B$2,J309,H309)</f>
        <v/>
      </c>
      <c r="M309" s="112"/>
    </row>
    <row r="310" spans="1:13" x14ac:dyDescent="0.2">
      <c r="A310" s="32" t="str">
        <f t="shared" si="41"/>
        <v/>
      </c>
      <c r="C310" s="35" t="str">
        <f>IF(OR(C309=1,C309=""),"",'Imperial Calcs'!B306)</f>
        <v/>
      </c>
      <c r="D310" s="30" t="str">
        <f>IF(C310="","",'Imperial Calcs'!C306)</f>
        <v/>
      </c>
      <c r="E310" s="30" t="str">
        <f>IF(OR(C309=1,C309=""),"",IF('Imperial Data'!$B$2,'Imperial Calcs'!D306,'Imperial Calcs'!E306))</f>
        <v/>
      </c>
      <c r="F310" s="30" t="str">
        <f>IF(OR(C309=1,C309=""),"",IF('Imperial Data'!$B$2,'Imperial Calcs'!E306,'Imperial Calcs'!G306))</f>
        <v/>
      </c>
      <c r="G310" s="30" t="str">
        <f>IF(OR(C309=1,C309=""),"",IF('Imperial Data'!$B$2,'Imperial Calcs'!F306,'Imperial Calcs'!J306))</f>
        <v/>
      </c>
      <c r="H310" s="30" t="str">
        <f>IF(OR(C309=1,C309=""),"",IF('Imperial Data'!$B$2,'Imperial Calcs'!G306,'Imperial Calcs'!M306))</f>
        <v/>
      </c>
      <c r="I310" s="30" t="str">
        <f>IF(C310="","",IF('Imperial Data'!$B$2,'Imperial Calcs'!J306,'Imperial Calcs'!Y306))</f>
        <v/>
      </c>
      <c r="J310" s="30" t="str">
        <f>IF('Imperial Data'!$B$2,'Imperial Calcs'!M306,"")</f>
        <v/>
      </c>
      <c r="K310" s="30"/>
      <c r="L310" s="37" t="str">
        <f>IF('Imperial Data'!$B$2,J310,H310)</f>
        <v/>
      </c>
      <c r="M310" s="112"/>
    </row>
    <row r="311" spans="1:13" x14ac:dyDescent="0.2">
      <c r="A311" s="32" t="str">
        <f t="shared" si="41"/>
        <v/>
      </c>
      <c r="C311" s="35" t="str">
        <f>IF(OR(C310=1,C310=""),"",'Imperial Calcs'!B307)</f>
        <v/>
      </c>
      <c r="D311" s="30" t="str">
        <f>IF(C311="","",'Imperial Calcs'!C307)</f>
        <v/>
      </c>
      <c r="E311" s="30" t="str">
        <f>IF(OR(C310=1,C310=""),"",IF('Imperial Data'!$B$2,'Imperial Calcs'!D307,'Imperial Calcs'!E307))</f>
        <v/>
      </c>
      <c r="F311" s="30" t="str">
        <f>IF(OR(C310=1,C310=""),"",IF('Imperial Data'!$B$2,'Imperial Calcs'!E307,'Imperial Calcs'!G307))</f>
        <v/>
      </c>
      <c r="G311" s="30" t="str">
        <f>IF(OR(C310=1,C310=""),"",IF('Imperial Data'!$B$2,'Imperial Calcs'!F307,'Imperial Calcs'!J307))</f>
        <v/>
      </c>
      <c r="H311" s="30" t="str">
        <f>IF(OR(C310=1,C310=""),"",IF('Imperial Data'!$B$2,'Imperial Calcs'!G307,'Imperial Calcs'!M307))</f>
        <v/>
      </c>
      <c r="I311" s="30" t="str">
        <f>IF(C311="","",IF('Imperial Data'!$B$2,'Imperial Calcs'!J307,'Imperial Calcs'!Y307))</f>
        <v/>
      </c>
      <c r="J311" s="30" t="str">
        <f>IF('Imperial Data'!$B$2,'Imperial Calcs'!M307,"")</f>
        <v/>
      </c>
      <c r="K311" s="30"/>
      <c r="L311" s="37" t="str">
        <f>IF('Imperial Data'!$B$2,J311,H311)</f>
        <v/>
      </c>
      <c r="M311" s="112"/>
    </row>
    <row r="312" spans="1:13" x14ac:dyDescent="0.2">
      <c r="A312" s="32" t="str">
        <f t="shared" si="41"/>
        <v/>
      </c>
      <c r="C312" s="35" t="str">
        <f>IF(OR(C311=1,C311=""),"",'Imperial Calcs'!B308)</f>
        <v/>
      </c>
      <c r="D312" s="30" t="str">
        <f>IF(C312="","",'Imperial Calcs'!C308)</f>
        <v/>
      </c>
      <c r="E312" s="30" t="str">
        <f>IF(OR(C311=1,C311=""),"",IF('Imperial Data'!$B$2,'Imperial Calcs'!D308,'Imperial Calcs'!E308))</f>
        <v/>
      </c>
      <c r="F312" s="30" t="str">
        <f>IF(OR(C311=1,C311=""),"",IF('Imperial Data'!$B$2,'Imperial Calcs'!E308,'Imperial Calcs'!G308))</f>
        <v/>
      </c>
      <c r="G312" s="30" t="str">
        <f>IF(OR(C311=1,C311=""),"",IF('Imperial Data'!$B$2,'Imperial Calcs'!F308,'Imperial Calcs'!J308))</f>
        <v/>
      </c>
      <c r="H312" s="30" t="str">
        <f>IF(OR(C311=1,C311=""),"",IF('Imperial Data'!$B$2,'Imperial Calcs'!G308,'Imperial Calcs'!M308))</f>
        <v/>
      </c>
      <c r="I312" s="30" t="str">
        <f>IF(C312="","",IF('Imperial Data'!$B$2,'Imperial Calcs'!J308,'Imperial Calcs'!Y308))</f>
        <v/>
      </c>
      <c r="J312" s="30" t="str">
        <f>IF('Imperial Data'!$B$2,'Imperial Calcs'!M308,"")</f>
        <v/>
      </c>
      <c r="K312" s="30"/>
      <c r="L312" s="37" t="str">
        <f>IF('Imperial Data'!$B$2,J312,H312)</f>
        <v/>
      </c>
      <c r="M312" s="112"/>
    </row>
    <row r="313" spans="1:13" x14ac:dyDescent="0.2">
      <c r="A313" s="32" t="str">
        <f t="shared" si="41"/>
        <v/>
      </c>
      <c r="C313" s="35" t="str">
        <f>IF(OR(C312=1,C312=""),"",'Imperial Calcs'!B309)</f>
        <v/>
      </c>
      <c r="D313" s="30" t="str">
        <f>IF(C313="","",'Imperial Calcs'!C309)</f>
        <v/>
      </c>
      <c r="E313" s="30" t="str">
        <f>IF(OR(C312=1,C312=""),"",IF('Imperial Data'!$B$2,'Imperial Calcs'!D309,'Imperial Calcs'!E309))</f>
        <v/>
      </c>
      <c r="F313" s="30" t="str">
        <f>IF(OR(C312=1,C312=""),"",IF('Imperial Data'!$B$2,'Imperial Calcs'!E309,'Imperial Calcs'!G309))</f>
        <v/>
      </c>
      <c r="G313" s="30" t="str">
        <f>IF(OR(C312=1,C312=""),"",IF('Imperial Data'!$B$2,'Imperial Calcs'!F309,'Imperial Calcs'!J309))</f>
        <v/>
      </c>
      <c r="H313" s="30" t="str">
        <f>IF(OR(C312=1,C312=""),"",IF('Imperial Data'!$B$2,'Imperial Calcs'!G309,'Imperial Calcs'!M309))</f>
        <v/>
      </c>
      <c r="I313" s="30" t="str">
        <f>IF(C313="","",IF('Imperial Data'!$B$2,'Imperial Calcs'!J309,'Imperial Calcs'!Y309))</f>
        <v/>
      </c>
      <c r="J313" s="30" t="str">
        <f>IF('Imperial Data'!$B$2,'Imperial Calcs'!M309,"")</f>
        <v/>
      </c>
      <c r="K313" s="30"/>
      <c r="L313" s="37" t="str">
        <f>IF('Imperial Data'!$B$2,J313,H313)</f>
        <v/>
      </c>
      <c r="M313" s="112"/>
    </row>
    <row r="314" spans="1:13" x14ac:dyDescent="0.2">
      <c r="A314" s="32" t="str">
        <f t="shared" si="41"/>
        <v/>
      </c>
      <c r="C314" s="35" t="str">
        <f>IF(OR(C313=1,C313=""),"",'Imperial Calcs'!B310)</f>
        <v/>
      </c>
      <c r="D314" s="30" t="str">
        <f>IF(C314="","",'Imperial Calcs'!C310)</f>
        <v/>
      </c>
      <c r="E314" s="30" t="str">
        <f>IF(OR(C313=1,C313=""),"",IF('Imperial Data'!$B$2,'Imperial Calcs'!D310,'Imperial Calcs'!E310))</f>
        <v/>
      </c>
      <c r="F314" s="30" t="str">
        <f>IF(OR(C313=1,C313=""),"",IF('Imperial Data'!$B$2,'Imperial Calcs'!E310,'Imperial Calcs'!G310))</f>
        <v/>
      </c>
      <c r="G314" s="30" t="str">
        <f>IF(OR(C313=1,C313=""),"",IF('Imperial Data'!$B$2,'Imperial Calcs'!F310,'Imperial Calcs'!J310))</f>
        <v/>
      </c>
      <c r="H314" s="30" t="str">
        <f>IF(OR(C313=1,C313=""),"",IF('Imperial Data'!$B$2,'Imperial Calcs'!G310,'Imperial Calcs'!M310))</f>
        <v/>
      </c>
      <c r="I314" s="30" t="str">
        <f>IF(C314="","",IF('Imperial Data'!$B$2,'Imperial Calcs'!J310,'Imperial Calcs'!Y310))</f>
        <v/>
      </c>
      <c r="J314" s="30" t="str">
        <f>IF('Imperial Data'!$B$2,'Imperial Calcs'!M310,"")</f>
        <v/>
      </c>
      <c r="K314" s="30"/>
      <c r="L314" s="37" t="str">
        <f>IF('Imperial Data'!$B$2,J314,H314)</f>
        <v/>
      </c>
      <c r="M314" s="112"/>
    </row>
    <row r="315" spans="1:13" x14ac:dyDescent="0.2">
      <c r="A315" s="32" t="str">
        <f t="shared" si="41"/>
        <v/>
      </c>
      <c r="C315" s="35" t="str">
        <f>IF(OR(C314=1,C314=""),"",'Imperial Calcs'!B311)</f>
        <v/>
      </c>
      <c r="D315" s="30" t="str">
        <f>IF(C315="","",'Imperial Calcs'!C311)</f>
        <v/>
      </c>
      <c r="E315" s="30" t="str">
        <f>IF(OR(C314=1,C314=""),"",IF('Imperial Data'!$B$2,'Imperial Calcs'!D311,'Imperial Calcs'!E311))</f>
        <v/>
      </c>
      <c r="F315" s="30" t="str">
        <f>IF(OR(C314=1,C314=""),"",IF('Imperial Data'!$B$2,'Imperial Calcs'!E311,'Imperial Calcs'!G311))</f>
        <v/>
      </c>
      <c r="G315" s="30" t="str">
        <f>IF(OR(C314=1,C314=""),"",IF('Imperial Data'!$B$2,'Imperial Calcs'!F311,'Imperial Calcs'!J311))</f>
        <v/>
      </c>
      <c r="H315" s="30" t="str">
        <f>IF(OR(C314=1,C314=""),"",IF('Imperial Data'!$B$2,'Imperial Calcs'!G311,'Imperial Calcs'!M311))</f>
        <v/>
      </c>
      <c r="I315" s="30" t="str">
        <f>IF(C315="","",IF('Imperial Data'!$B$2,'Imperial Calcs'!J311,'Imperial Calcs'!Y311))</f>
        <v/>
      </c>
      <c r="J315" s="30" t="str">
        <f>IF('Imperial Data'!$B$2,'Imperial Calcs'!M311,"")</f>
        <v/>
      </c>
      <c r="K315" s="30"/>
      <c r="L315" s="37" t="str">
        <f>IF('Imperial Data'!$B$2,J315,H315)</f>
        <v/>
      </c>
      <c r="M315" s="112"/>
    </row>
    <row r="316" spans="1:13" x14ac:dyDescent="0.2">
      <c r="A316" s="32" t="str">
        <f t="shared" si="41"/>
        <v/>
      </c>
      <c r="C316" s="35" t="str">
        <f>IF(OR(C315=1,C315=""),"",'Imperial Calcs'!B312)</f>
        <v/>
      </c>
      <c r="D316" s="30" t="str">
        <f>IF(C316="","",'Imperial Calcs'!C312)</f>
        <v/>
      </c>
      <c r="E316" s="30" t="str">
        <f>IF(OR(C315=1,C315=""),"",IF('Imperial Data'!$B$2,'Imperial Calcs'!D312,'Imperial Calcs'!E312))</f>
        <v/>
      </c>
      <c r="F316" s="30" t="str">
        <f>IF(OR(C315=1,C315=""),"",IF('Imperial Data'!$B$2,'Imperial Calcs'!E312,'Imperial Calcs'!G312))</f>
        <v/>
      </c>
      <c r="G316" s="30" t="str">
        <f>IF(OR(C315=1,C315=""),"",IF('Imperial Data'!$B$2,'Imperial Calcs'!F312,'Imperial Calcs'!J312))</f>
        <v/>
      </c>
      <c r="H316" s="30" t="str">
        <f>IF(OR(C315=1,C315=""),"",IF('Imperial Data'!$B$2,'Imperial Calcs'!G312,'Imperial Calcs'!M312))</f>
        <v/>
      </c>
      <c r="I316" s="30" t="str">
        <f>IF(C316="","",IF('Imperial Data'!$B$2,'Imperial Calcs'!J312,'Imperial Calcs'!Y312))</f>
        <v/>
      </c>
      <c r="J316" s="30" t="str">
        <f>IF('Imperial Data'!$B$2,'Imperial Calcs'!M312,"")</f>
        <v/>
      </c>
      <c r="K316" s="30"/>
      <c r="L316" s="37" t="str">
        <f>IF('Imperial Data'!$B$2,J316,H316)</f>
        <v/>
      </c>
      <c r="M316" s="112"/>
    </row>
    <row r="317" spans="1:13" x14ac:dyDescent="0.2">
      <c r="A317" s="32" t="str">
        <f t="shared" si="41"/>
        <v/>
      </c>
      <c r="C317" s="35" t="str">
        <f>IF(OR(C316=1,C316=""),"",'Imperial Calcs'!B313)</f>
        <v/>
      </c>
      <c r="D317" s="30" t="str">
        <f>IF(C317="","",'Imperial Calcs'!C313)</f>
        <v/>
      </c>
      <c r="E317" s="30" t="str">
        <f>IF(OR(C316=1,C316=""),"",IF('Imperial Data'!$B$2,'Imperial Calcs'!D313,'Imperial Calcs'!E313))</f>
        <v/>
      </c>
      <c r="F317" s="30" t="str">
        <f>IF(OR(C316=1,C316=""),"",IF('Imperial Data'!$B$2,'Imperial Calcs'!E313,'Imperial Calcs'!G313))</f>
        <v/>
      </c>
      <c r="G317" s="30" t="str">
        <f>IF(OR(C316=1,C316=""),"",IF('Imperial Data'!$B$2,'Imperial Calcs'!F313,'Imperial Calcs'!J313))</f>
        <v/>
      </c>
      <c r="H317" s="30" t="str">
        <f>IF(OR(C316=1,C316=""),"",IF('Imperial Data'!$B$2,'Imperial Calcs'!G313,'Imperial Calcs'!M313))</f>
        <v/>
      </c>
      <c r="I317" s="30" t="str">
        <f>IF(C317="","",IF('Imperial Data'!$B$2,'Imperial Calcs'!J313,'Imperial Calcs'!Y313))</f>
        <v/>
      </c>
      <c r="J317" s="30" t="str">
        <f>IF('Imperial Data'!$B$2,'Imperial Calcs'!M313,"")</f>
        <v/>
      </c>
      <c r="K317" s="30"/>
      <c r="L317" s="37" t="str">
        <f>IF('Imperial Data'!$B$2,J317,H317)</f>
        <v/>
      </c>
      <c r="M317" s="112"/>
    </row>
    <row r="318" spans="1:13" x14ac:dyDescent="0.2">
      <c r="A318" s="32" t="str">
        <f t="shared" si="41"/>
        <v/>
      </c>
      <c r="C318" s="35" t="str">
        <f>IF(OR(C317=1,C317=""),"",'Imperial Calcs'!B314)</f>
        <v/>
      </c>
      <c r="D318" s="30" t="str">
        <f>IF(C318="","",'Imperial Calcs'!C314)</f>
        <v/>
      </c>
      <c r="E318" s="30" t="str">
        <f>IF(OR(C317=1,C317=""),"",IF('Imperial Data'!$B$2,'Imperial Calcs'!D314,'Imperial Calcs'!E314))</f>
        <v/>
      </c>
      <c r="F318" s="30" t="str">
        <f>IF(OR(C317=1,C317=""),"",IF('Imperial Data'!$B$2,'Imperial Calcs'!E314,'Imperial Calcs'!G314))</f>
        <v/>
      </c>
      <c r="G318" s="30" t="str">
        <f>IF(OR(C317=1,C317=""),"",IF('Imperial Data'!$B$2,'Imperial Calcs'!F314,'Imperial Calcs'!J314))</f>
        <v/>
      </c>
      <c r="H318" s="30" t="str">
        <f>IF(OR(C317=1,C317=""),"",IF('Imperial Data'!$B$2,'Imperial Calcs'!G314,'Imperial Calcs'!M314))</f>
        <v/>
      </c>
      <c r="I318" s="30" t="str">
        <f>IF(C318="","",IF('Imperial Data'!$B$2,'Imperial Calcs'!J314,'Imperial Calcs'!Y314))</f>
        <v/>
      </c>
      <c r="J318" s="30" t="str">
        <f>IF('Imperial Data'!$B$2,'Imperial Calcs'!M314,"")</f>
        <v/>
      </c>
      <c r="K318" s="30"/>
      <c r="L318" s="37" t="str">
        <f>IF('Imperial Data'!$B$2,J318,H318)</f>
        <v/>
      </c>
      <c r="M318" s="112"/>
    </row>
    <row r="319" spans="1:13" x14ac:dyDescent="0.2">
      <c r="A319" s="32" t="str">
        <f t="shared" si="41"/>
        <v/>
      </c>
      <c r="C319" s="35" t="str">
        <f>IF(OR(C318=1,C318=""),"",'Imperial Calcs'!B315)</f>
        <v/>
      </c>
      <c r="D319" s="30" t="str">
        <f>IF(C319="","",'Imperial Calcs'!C315)</f>
        <v/>
      </c>
      <c r="E319" s="30" t="str">
        <f>IF(OR(C318=1,C318=""),"",IF('Imperial Data'!$B$2,'Imperial Calcs'!D315,'Imperial Calcs'!E315))</f>
        <v/>
      </c>
      <c r="F319" s="30" t="str">
        <f>IF(OR(C318=1,C318=""),"",IF('Imperial Data'!$B$2,'Imperial Calcs'!E315,'Imperial Calcs'!G315))</f>
        <v/>
      </c>
      <c r="G319" s="30" t="str">
        <f>IF(OR(C318=1,C318=""),"",IF('Imperial Data'!$B$2,'Imperial Calcs'!F315,'Imperial Calcs'!J315))</f>
        <v/>
      </c>
      <c r="H319" s="30" t="str">
        <f>IF(OR(C318=1,C318=""),"",IF('Imperial Data'!$B$2,'Imperial Calcs'!G315,'Imperial Calcs'!M315))</f>
        <v/>
      </c>
      <c r="I319" s="30" t="str">
        <f>IF(C319="","",IF('Imperial Data'!$B$2,'Imperial Calcs'!J315,'Imperial Calcs'!Y315))</f>
        <v/>
      </c>
      <c r="J319" s="30" t="str">
        <f>IF('Imperial Data'!$B$2,'Imperial Calcs'!M315,"")</f>
        <v/>
      </c>
      <c r="K319" s="30"/>
      <c r="L319" s="37" t="str">
        <f>IF('Imperial Data'!$B$2,J319,H319)</f>
        <v/>
      </c>
      <c r="M319" s="112"/>
    </row>
    <row r="320" spans="1:13" x14ac:dyDescent="0.2">
      <c r="A320" s="32" t="str">
        <f t="shared" si="41"/>
        <v/>
      </c>
      <c r="C320" s="35" t="str">
        <f>IF(OR(C319=1,C319=""),"",'Imperial Calcs'!B316)</f>
        <v/>
      </c>
      <c r="D320" s="30" t="str">
        <f>IF(C320="","",'Imperial Calcs'!C316)</f>
        <v/>
      </c>
      <c r="E320" s="30" t="str">
        <f>IF(OR(C319=1,C319=""),"",IF('Imperial Data'!$B$2,'Imperial Calcs'!D316,'Imperial Calcs'!E316))</f>
        <v/>
      </c>
      <c r="F320" s="30" t="str">
        <f>IF(OR(C319=1,C319=""),"",IF('Imperial Data'!$B$2,'Imperial Calcs'!E316,'Imperial Calcs'!G316))</f>
        <v/>
      </c>
      <c r="G320" s="30" t="str">
        <f>IF(OR(C319=1,C319=""),"",IF('Imperial Data'!$B$2,'Imperial Calcs'!F316,'Imperial Calcs'!J316))</f>
        <v/>
      </c>
      <c r="H320" s="30" t="str">
        <f>IF(OR(C319=1,C319=""),"",IF('Imperial Data'!$B$2,'Imperial Calcs'!G316,'Imperial Calcs'!M316))</f>
        <v/>
      </c>
      <c r="I320" s="30" t="str">
        <f>IF(C320="","",IF('Imperial Data'!$B$2,'Imperial Calcs'!J316,'Imperial Calcs'!Y316))</f>
        <v/>
      </c>
      <c r="J320" s="30" t="str">
        <f>IF('Imperial Data'!$B$2,'Imperial Calcs'!M316,"")</f>
        <v/>
      </c>
      <c r="K320" s="30"/>
      <c r="L320" s="37" t="str">
        <f>IF('Imperial Data'!$B$2,J320,H320)</f>
        <v/>
      </c>
      <c r="M320" s="112"/>
    </row>
    <row r="321" spans="1:13" x14ac:dyDescent="0.2">
      <c r="A321" s="32" t="str">
        <f t="shared" si="41"/>
        <v/>
      </c>
      <c r="C321" s="35" t="str">
        <f>IF(OR(C320=1,C320=""),"",'Imperial Calcs'!B317)</f>
        <v/>
      </c>
      <c r="D321" s="30" t="str">
        <f>IF(C321="","",'Imperial Calcs'!C317)</f>
        <v/>
      </c>
      <c r="E321" s="30" t="str">
        <f>IF(OR(C320=1,C320=""),"",IF('Imperial Data'!$B$2,'Imperial Calcs'!D317,'Imperial Calcs'!E317))</f>
        <v/>
      </c>
      <c r="F321" s="30" t="str">
        <f>IF(OR(C320=1,C320=""),"",IF('Imperial Data'!$B$2,'Imperial Calcs'!E317,'Imperial Calcs'!G317))</f>
        <v/>
      </c>
      <c r="G321" s="30" t="str">
        <f>IF(OR(C320=1,C320=""),"",IF('Imperial Data'!$B$2,'Imperial Calcs'!F317,'Imperial Calcs'!J317))</f>
        <v/>
      </c>
      <c r="H321" s="30" t="str">
        <f>IF(OR(C320=1,C320=""),"",IF('Imperial Data'!$B$2,'Imperial Calcs'!G317,'Imperial Calcs'!M317))</f>
        <v/>
      </c>
      <c r="I321" s="30" t="str">
        <f>IF(C321="","",IF('Imperial Data'!$B$2,'Imperial Calcs'!J317,'Imperial Calcs'!Y317))</f>
        <v/>
      </c>
      <c r="J321" s="30" t="str">
        <f>IF('Imperial Data'!$B$2,'Imperial Calcs'!M317,"")</f>
        <v/>
      </c>
      <c r="K321" s="30"/>
      <c r="L321" s="37" t="str">
        <f>IF('Imperial Data'!$B$2,J321,H321)</f>
        <v/>
      </c>
      <c r="M321" s="112"/>
    </row>
    <row r="322" spans="1:13" x14ac:dyDescent="0.2">
      <c r="A322" s="32" t="str">
        <f t="shared" si="41"/>
        <v/>
      </c>
      <c r="C322" s="35" t="str">
        <f>IF(OR(C321=1,C321=""),"",'Imperial Calcs'!B318)</f>
        <v/>
      </c>
      <c r="D322" s="30" t="str">
        <f>IF(C322="","",'Imperial Calcs'!C318)</f>
        <v/>
      </c>
      <c r="E322" s="30" t="str">
        <f>IF(OR(C321=1,C321=""),"",IF('Imperial Data'!$B$2,'Imperial Calcs'!D318,'Imperial Calcs'!E318))</f>
        <v/>
      </c>
      <c r="F322" s="30" t="str">
        <f>IF(OR(C321=1,C321=""),"",IF('Imperial Data'!$B$2,'Imperial Calcs'!E318,'Imperial Calcs'!G318))</f>
        <v/>
      </c>
      <c r="G322" s="30" t="str">
        <f>IF(OR(C321=1,C321=""),"",IF('Imperial Data'!$B$2,'Imperial Calcs'!F318,'Imperial Calcs'!J318))</f>
        <v/>
      </c>
      <c r="H322" s="30" t="str">
        <f>IF(OR(C321=1,C321=""),"",IF('Imperial Data'!$B$2,'Imperial Calcs'!G318,'Imperial Calcs'!M318))</f>
        <v/>
      </c>
      <c r="I322" s="30" t="str">
        <f>IF(C322="","",IF('Imperial Data'!$B$2,'Imperial Calcs'!J318,'Imperial Calcs'!Y318))</f>
        <v/>
      </c>
      <c r="J322" s="30" t="str">
        <f>IF('Imperial Data'!$B$2,'Imperial Calcs'!M318,"")</f>
        <v/>
      </c>
      <c r="K322" s="30"/>
      <c r="L322" s="37" t="str">
        <f>IF('Imperial Data'!$B$2,J322,H322)</f>
        <v/>
      </c>
      <c r="M322" s="112"/>
    </row>
    <row r="323" spans="1:13" x14ac:dyDescent="0.2">
      <c r="A323" s="32" t="str">
        <f t="shared" si="41"/>
        <v/>
      </c>
      <c r="C323" s="35" t="str">
        <f>IF(OR(C322=1,C322=""),"",'Imperial Calcs'!B319)</f>
        <v/>
      </c>
      <c r="D323" s="30" t="str">
        <f>IF(C323="","",'Imperial Calcs'!C319)</f>
        <v/>
      </c>
      <c r="E323" s="30" t="str">
        <f>IF(OR(C322=1,C322=""),"",IF('Imperial Data'!$B$2,'Imperial Calcs'!D319,'Imperial Calcs'!E319))</f>
        <v/>
      </c>
      <c r="F323" s="30" t="str">
        <f>IF(OR(C322=1,C322=""),"",IF('Imperial Data'!$B$2,'Imperial Calcs'!E319,'Imperial Calcs'!G319))</f>
        <v/>
      </c>
      <c r="G323" s="30" t="str">
        <f>IF(OR(C322=1,C322=""),"",IF('Imperial Data'!$B$2,'Imperial Calcs'!F319,'Imperial Calcs'!J319))</f>
        <v/>
      </c>
      <c r="H323" s="30" t="str">
        <f>IF(OR(C322=1,C322=""),"",IF('Imperial Data'!$B$2,'Imperial Calcs'!G319,'Imperial Calcs'!M319))</f>
        <v/>
      </c>
      <c r="I323" s="30" t="str">
        <f>IF(C323="","",IF('Imperial Data'!$B$2,'Imperial Calcs'!J319,'Imperial Calcs'!Y319))</f>
        <v/>
      </c>
      <c r="J323" s="30" t="str">
        <f>IF('Imperial Data'!$B$2,'Imperial Calcs'!M319,"")</f>
        <v/>
      </c>
      <c r="K323" s="30"/>
      <c r="L323" s="37" t="str">
        <f>IF('Imperial Data'!$B$2,J323,H323)</f>
        <v/>
      </c>
      <c r="M323" s="112"/>
    </row>
    <row r="324" spans="1:13" x14ac:dyDescent="0.2">
      <c r="A324" s="32" t="str">
        <f t="shared" si="41"/>
        <v/>
      </c>
      <c r="C324" s="35" t="str">
        <f>IF(OR(C323=1,C323=""),"",'Imperial Calcs'!B320)</f>
        <v/>
      </c>
      <c r="D324" s="30" t="str">
        <f>IF(C324="","",'Imperial Calcs'!C320)</f>
        <v/>
      </c>
      <c r="E324" s="30" t="str">
        <f>IF(OR(C323=1,C323=""),"",IF('Imperial Data'!$B$2,'Imperial Calcs'!D320,'Imperial Calcs'!E320))</f>
        <v/>
      </c>
      <c r="F324" s="30" t="str">
        <f>IF(OR(C323=1,C323=""),"",IF('Imperial Data'!$B$2,'Imperial Calcs'!E320,'Imperial Calcs'!G320))</f>
        <v/>
      </c>
      <c r="G324" s="30" t="str">
        <f>IF(OR(C323=1,C323=""),"",IF('Imperial Data'!$B$2,'Imperial Calcs'!F320,'Imperial Calcs'!J320))</f>
        <v/>
      </c>
      <c r="H324" s="30" t="str">
        <f>IF(OR(C323=1,C323=""),"",IF('Imperial Data'!$B$2,'Imperial Calcs'!G320,'Imperial Calcs'!M320))</f>
        <v/>
      </c>
      <c r="I324" s="30" t="str">
        <f>IF(C324="","",IF('Imperial Data'!$B$2,'Imperial Calcs'!J320,'Imperial Calcs'!Y320))</f>
        <v/>
      </c>
      <c r="J324" s="30" t="str">
        <f>IF('Imperial Data'!$B$2,'Imperial Calcs'!M320,"")</f>
        <v/>
      </c>
      <c r="K324" s="30"/>
      <c r="L324" s="37" t="str">
        <f>IF('Imperial Data'!$B$2,J324,H324)</f>
        <v/>
      </c>
      <c r="M324" s="112"/>
    </row>
    <row r="325" spans="1:13" x14ac:dyDescent="0.2">
      <c r="A325" s="32" t="str">
        <f t="shared" si="41"/>
        <v/>
      </c>
      <c r="C325" s="35" t="str">
        <f>IF(OR(C324=1,C324=""),"",'Imperial Calcs'!B321)</f>
        <v/>
      </c>
      <c r="D325" s="30" t="str">
        <f>IF(C325="","",'Imperial Calcs'!C321)</f>
        <v/>
      </c>
      <c r="E325" s="30" t="str">
        <f>IF(OR(C324=1,C324=""),"",IF('Imperial Data'!$B$2,'Imperial Calcs'!D321,'Imperial Calcs'!E321))</f>
        <v/>
      </c>
      <c r="F325" s="30" t="str">
        <f>IF(OR(C324=1,C324=""),"",IF('Imperial Data'!$B$2,'Imperial Calcs'!E321,'Imperial Calcs'!G321))</f>
        <v/>
      </c>
      <c r="G325" s="30" t="str">
        <f>IF(OR(C324=1,C324=""),"",IF('Imperial Data'!$B$2,'Imperial Calcs'!F321,'Imperial Calcs'!J321))</f>
        <v/>
      </c>
      <c r="H325" s="30" t="str">
        <f>IF(OR(C324=1,C324=""),"",IF('Imperial Data'!$B$2,'Imperial Calcs'!G321,'Imperial Calcs'!M321))</f>
        <v/>
      </c>
      <c r="I325" s="30" t="str">
        <f>IF(C325="","",IF('Imperial Data'!$B$2,'Imperial Calcs'!J321,'Imperial Calcs'!Y321))</f>
        <v/>
      </c>
      <c r="J325" s="30" t="str">
        <f>IF('Imperial Data'!$B$2,'Imperial Calcs'!M321,"")</f>
        <v/>
      </c>
      <c r="K325" s="30"/>
      <c r="L325" s="37" t="str">
        <f>IF('Imperial Data'!$B$2,J325,H325)</f>
        <v/>
      </c>
      <c r="M325" s="112"/>
    </row>
    <row r="326" spans="1:13" x14ac:dyDescent="0.2">
      <c r="A326" s="32" t="str">
        <f t="shared" si="41"/>
        <v/>
      </c>
      <c r="C326" s="35" t="str">
        <f>IF(OR(C325=1,C325=""),"",'Imperial Calcs'!B322)</f>
        <v/>
      </c>
      <c r="D326" s="30" t="str">
        <f>IF(C326="","",'Imperial Calcs'!C322)</f>
        <v/>
      </c>
      <c r="E326" s="30" t="str">
        <f>IF(OR(C325=1,C325=""),"",IF('Imperial Data'!$B$2,'Imperial Calcs'!D322,'Imperial Calcs'!E322))</f>
        <v/>
      </c>
      <c r="F326" s="30" t="str">
        <f>IF(OR(C325=1,C325=""),"",IF('Imperial Data'!$B$2,'Imperial Calcs'!E322,'Imperial Calcs'!G322))</f>
        <v/>
      </c>
      <c r="G326" s="30" t="str">
        <f>IF(OR(C325=1,C325=""),"",IF('Imperial Data'!$B$2,'Imperial Calcs'!F322,'Imperial Calcs'!J322))</f>
        <v/>
      </c>
      <c r="H326" s="30" t="str">
        <f>IF(OR(C325=1,C325=""),"",IF('Imperial Data'!$B$2,'Imperial Calcs'!G322,'Imperial Calcs'!M322))</f>
        <v/>
      </c>
      <c r="I326" s="30" t="str">
        <f>IF(C326="","",IF('Imperial Data'!$B$2,'Imperial Calcs'!J322,'Imperial Calcs'!Y322))</f>
        <v/>
      </c>
      <c r="J326" s="30" t="str">
        <f>IF('Imperial Data'!$B$2,'Imperial Calcs'!M322,"")</f>
        <v/>
      </c>
      <c r="K326" s="30"/>
      <c r="L326" s="37" t="str">
        <f>IF('Imperial Data'!$B$2,J326,H326)</f>
        <v/>
      </c>
      <c r="M326" s="112"/>
    </row>
    <row r="327" spans="1:13" x14ac:dyDescent="0.2">
      <c r="A327" s="32" t="str">
        <f t="shared" si="41"/>
        <v/>
      </c>
      <c r="C327" s="35" t="str">
        <f>IF(OR(C326=1,C326=""),"",'Imperial Calcs'!B323)</f>
        <v/>
      </c>
      <c r="D327" s="30" t="str">
        <f>IF(C327="","",'Imperial Calcs'!C323)</f>
        <v/>
      </c>
      <c r="E327" s="30" t="str">
        <f>IF(OR(C326=1,C326=""),"",IF('Imperial Data'!$B$2,'Imperial Calcs'!D323,'Imperial Calcs'!E323))</f>
        <v/>
      </c>
      <c r="F327" s="30" t="str">
        <f>IF(OR(C326=1,C326=""),"",IF('Imperial Data'!$B$2,'Imperial Calcs'!E323,'Imperial Calcs'!G323))</f>
        <v/>
      </c>
      <c r="G327" s="30" t="str">
        <f>IF(OR(C326=1,C326=""),"",IF('Imperial Data'!$B$2,'Imperial Calcs'!F323,'Imperial Calcs'!J323))</f>
        <v/>
      </c>
      <c r="H327" s="30" t="str">
        <f>IF(OR(C326=1,C326=""),"",IF('Imperial Data'!$B$2,'Imperial Calcs'!G323,'Imperial Calcs'!M323))</f>
        <v/>
      </c>
      <c r="I327" s="30" t="str">
        <f>IF(C327="","",IF('Imperial Data'!$B$2,'Imperial Calcs'!J323,'Imperial Calcs'!Y323))</f>
        <v/>
      </c>
      <c r="J327" s="30" t="str">
        <f>IF('Imperial Data'!$B$2,'Imperial Calcs'!M323,"")</f>
        <v/>
      </c>
      <c r="K327" s="30"/>
      <c r="L327" s="37" t="str">
        <f>IF('Imperial Data'!$B$2,J327,H327)</f>
        <v/>
      </c>
      <c r="M327" s="112"/>
    </row>
    <row r="328" spans="1:13" x14ac:dyDescent="0.2">
      <c r="A328" s="32" t="str">
        <f t="shared" si="41"/>
        <v/>
      </c>
      <c r="C328" s="35" t="str">
        <f>IF(OR(C327=1,C327=""),"",'Imperial Calcs'!B324)</f>
        <v/>
      </c>
      <c r="D328" s="30" t="str">
        <f>IF(C328="","",'Imperial Calcs'!C324)</f>
        <v/>
      </c>
      <c r="E328" s="30" t="str">
        <f>IF(OR(C327=1,C327=""),"",IF('Imperial Data'!$B$2,'Imperial Calcs'!D324,'Imperial Calcs'!E324))</f>
        <v/>
      </c>
      <c r="F328" s="30" t="str">
        <f>IF(OR(C327=1,C327=""),"",IF('Imperial Data'!$B$2,'Imperial Calcs'!E324,'Imperial Calcs'!G324))</f>
        <v/>
      </c>
      <c r="G328" s="30" t="str">
        <f>IF(OR(C327=1,C327=""),"",IF('Imperial Data'!$B$2,'Imperial Calcs'!F324,'Imperial Calcs'!J324))</f>
        <v/>
      </c>
      <c r="H328" s="30" t="str">
        <f>IF(OR(C327=1,C327=""),"",IF('Imperial Data'!$B$2,'Imperial Calcs'!G324,'Imperial Calcs'!M324))</f>
        <v/>
      </c>
      <c r="I328" s="30" t="str">
        <f>IF(C328="","",IF('Imperial Data'!$B$2,'Imperial Calcs'!J324,'Imperial Calcs'!Y324))</f>
        <v/>
      </c>
      <c r="J328" s="30" t="str">
        <f>IF('Imperial Data'!$B$2,'Imperial Calcs'!M324,"")</f>
        <v/>
      </c>
      <c r="K328" s="30"/>
      <c r="L328" s="37" t="str">
        <f>IF('Imperial Data'!$B$2,J328,H328)</f>
        <v/>
      </c>
      <c r="M328" s="112"/>
    </row>
    <row r="329" spans="1:13" x14ac:dyDescent="0.2">
      <c r="A329" s="32" t="str">
        <f t="shared" si="41"/>
        <v/>
      </c>
      <c r="C329" s="35" t="str">
        <f>IF(OR(C328=1,C328=""),"",'Imperial Calcs'!B325)</f>
        <v/>
      </c>
      <c r="D329" s="30" t="str">
        <f>IF(C329="","",'Imperial Calcs'!C325)</f>
        <v/>
      </c>
      <c r="E329" s="30" t="str">
        <f>IF(OR(C328=1,C328=""),"",IF('Imperial Data'!$B$2,'Imperial Calcs'!D325,'Imperial Calcs'!E325))</f>
        <v/>
      </c>
      <c r="F329" s="30" t="str">
        <f>IF(OR(C328=1,C328=""),"",IF('Imperial Data'!$B$2,'Imperial Calcs'!E325,'Imperial Calcs'!G325))</f>
        <v/>
      </c>
      <c r="G329" s="30" t="str">
        <f>IF(OR(C328=1,C328=""),"",IF('Imperial Data'!$B$2,'Imperial Calcs'!F325,'Imperial Calcs'!J325))</f>
        <v/>
      </c>
      <c r="H329" s="30" t="str">
        <f>IF(OR(C328=1,C328=""),"",IF('Imperial Data'!$B$2,'Imperial Calcs'!G325,'Imperial Calcs'!M325))</f>
        <v/>
      </c>
      <c r="I329" s="30" t="str">
        <f>IF(C329="","",IF('Imperial Data'!$B$2,'Imperial Calcs'!J325,'Imperial Calcs'!Y325))</f>
        <v/>
      </c>
      <c r="J329" s="30" t="str">
        <f>IF('Imperial Data'!$B$2,'Imperial Calcs'!M325,"")</f>
        <v/>
      </c>
      <c r="K329" s="30"/>
      <c r="L329" s="37" t="str">
        <f>IF('Imperial Data'!$B$2,J329,H329)</f>
        <v/>
      </c>
      <c r="M329" s="112"/>
    </row>
    <row r="330" spans="1:13" x14ac:dyDescent="0.2">
      <c r="A330" s="32" t="str">
        <f t="shared" si="41"/>
        <v/>
      </c>
      <c r="C330" s="35" t="str">
        <f>IF(OR(C329=1,C329=""),"",'Imperial Calcs'!B326)</f>
        <v/>
      </c>
      <c r="D330" s="30" t="str">
        <f>IF(C330="","",'Imperial Calcs'!C326)</f>
        <v/>
      </c>
      <c r="E330" s="30" t="str">
        <f>IF(OR(C329=1,C329=""),"",IF('Imperial Data'!$B$2,'Imperial Calcs'!D326,'Imperial Calcs'!E326))</f>
        <v/>
      </c>
      <c r="F330" s="30" t="str">
        <f>IF(OR(C329=1,C329=""),"",IF('Imperial Data'!$B$2,'Imperial Calcs'!E326,'Imperial Calcs'!G326))</f>
        <v/>
      </c>
      <c r="G330" s="30" t="str">
        <f>IF(OR(C329=1,C329=""),"",IF('Imperial Data'!$B$2,'Imperial Calcs'!F326,'Imperial Calcs'!J326))</f>
        <v/>
      </c>
      <c r="H330" s="30" t="str">
        <f>IF(OR(C329=1,C329=""),"",IF('Imperial Data'!$B$2,'Imperial Calcs'!G326,'Imperial Calcs'!M326))</f>
        <v/>
      </c>
      <c r="I330" s="30" t="str">
        <f>IF(C330="","",IF('Imperial Data'!$B$2,'Imperial Calcs'!J326,'Imperial Calcs'!Y326))</f>
        <v/>
      </c>
      <c r="J330" s="30" t="str">
        <f>IF('Imperial Data'!$B$2,'Imperial Calcs'!M326,"")</f>
        <v/>
      </c>
      <c r="K330" s="30"/>
      <c r="L330" s="37" t="str">
        <f>IF('Imperial Data'!$B$2,J330,H330)</f>
        <v/>
      </c>
      <c r="M330" s="112"/>
    </row>
    <row r="331" spans="1:13" x14ac:dyDescent="0.2">
      <c r="A331" s="32" t="str">
        <f t="shared" si="41"/>
        <v/>
      </c>
      <c r="C331" s="35" t="str">
        <f>IF(OR(C330=1,C330=""),"",'Imperial Calcs'!B327)</f>
        <v/>
      </c>
      <c r="D331" s="30" t="str">
        <f>IF(C331="","",'Imperial Calcs'!C327)</f>
        <v/>
      </c>
      <c r="E331" s="30" t="str">
        <f>IF(OR(C330=1,C330=""),"",IF('Imperial Data'!$B$2,'Imperial Calcs'!D327,'Imperial Calcs'!E327))</f>
        <v/>
      </c>
      <c r="F331" s="30" t="str">
        <f>IF(OR(C330=1,C330=""),"",IF('Imperial Data'!$B$2,'Imperial Calcs'!E327,'Imperial Calcs'!G327))</f>
        <v/>
      </c>
      <c r="G331" s="30" t="str">
        <f>IF(OR(C330=1,C330=""),"",IF('Imperial Data'!$B$2,'Imperial Calcs'!F327,'Imperial Calcs'!J327))</f>
        <v/>
      </c>
      <c r="H331" s="30" t="str">
        <f>IF(OR(C330=1,C330=""),"",IF('Imperial Data'!$B$2,'Imperial Calcs'!G327,'Imperial Calcs'!M327))</f>
        <v/>
      </c>
      <c r="I331" s="30" t="str">
        <f>IF(C331="","",IF('Imperial Data'!$B$2,'Imperial Calcs'!J327,'Imperial Calcs'!Y327))</f>
        <v/>
      </c>
      <c r="J331" s="30" t="str">
        <f>IF('Imperial Data'!$B$2,'Imperial Calcs'!M327,"")</f>
        <v/>
      </c>
      <c r="K331" s="30"/>
      <c r="L331" s="37" t="str">
        <f>IF('Imperial Data'!$B$2,J331,H331)</f>
        <v/>
      </c>
      <c r="M331" s="112"/>
    </row>
    <row r="332" spans="1:13" x14ac:dyDescent="0.2">
      <c r="A332" s="32" t="str">
        <f t="shared" si="41"/>
        <v/>
      </c>
      <c r="C332" s="35" t="str">
        <f>IF(OR(C331=1,C331=""),"",'Imperial Calcs'!B328)</f>
        <v/>
      </c>
      <c r="D332" s="30" t="str">
        <f>IF(C332="","",'Imperial Calcs'!C328)</f>
        <v/>
      </c>
      <c r="E332" s="30" t="str">
        <f>IF(OR(C331=1,C331=""),"",IF('Imperial Data'!$B$2,'Imperial Calcs'!D328,'Imperial Calcs'!E328))</f>
        <v/>
      </c>
      <c r="F332" s="30" t="str">
        <f>IF(OR(C331=1,C331=""),"",IF('Imperial Data'!$B$2,'Imperial Calcs'!E328,'Imperial Calcs'!G328))</f>
        <v/>
      </c>
      <c r="G332" s="30" t="str">
        <f>IF(OR(C331=1,C331=""),"",IF('Imperial Data'!$B$2,'Imperial Calcs'!F328,'Imperial Calcs'!J328))</f>
        <v/>
      </c>
      <c r="H332" s="30" t="str">
        <f>IF(OR(C331=1,C331=""),"",IF('Imperial Data'!$B$2,'Imperial Calcs'!G328,'Imperial Calcs'!M328))</f>
        <v/>
      </c>
      <c r="I332" s="30" t="str">
        <f>IF(C332="","",IF('Imperial Data'!$B$2,'Imperial Calcs'!J328,'Imperial Calcs'!Y328))</f>
        <v/>
      </c>
      <c r="J332" s="30" t="str">
        <f>IF('Imperial Data'!$B$2,'Imperial Calcs'!M328,"")</f>
        <v/>
      </c>
      <c r="K332" s="30"/>
      <c r="L332" s="37" t="str">
        <f>IF('Imperial Data'!$B$2,J332,H332)</f>
        <v/>
      </c>
      <c r="M332" s="112"/>
    </row>
    <row r="333" spans="1:13" x14ac:dyDescent="0.2">
      <c r="A333" s="32" t="str">
        <f t="shared" si="41"/>
        <v/>
      </c>
      <c r="C333" s="35" t="str">
        <f>IF(OR(C332=1,C332=""),"",'Imperial Calcs'!B329)</f>
        <v/>
      </c>
      <c r="D333" s="30" t="str">
        <f>IF(C333="","",'Imperial Calcs'!C329)</f>
        <v/>
      </c>
      <c r="E333" s="30" t="str">
        <f>IF(OR(C332=1,C332=""),"",IF('Imperial Data'!$B$2,'Imperial Calcs'!D329,'Imperial Calcs'!E329))</f>
        <v/>
      </c>
      <c r="F333" s="30" t="str">
        <f>IF(OR(C332=1,C332=""),"",IF('Imperial Data'!$B$2,'Imperial Calcs'!E329,'Imperial Calcs'!G329))</f>
        <v/>
      </c>
      <c r="G333" s="30" t="str">
        <f>IF(OR(C332=1,C332=""),"",IF('Imperial Data'!$B$2,'Imperial Calcs'!F329,'Imperial Calcs'!J329))</f>
        <v/>
      </c>
      <c r="H333" s="30" t="str">
        <f>IF(OR(C332=1,C332=""),"",IF('Imperial Data'!$B$2,'Imperial Calcs'!G329,'Imperial Calcs'!M329))</f>
        <v/>
      </c>
      <c r="I333" s="30" t="str">
        <f>IF(C333="","",IF('Imperial Data'!$B$2,'Imperial Calcs'!J329,'Imperial Calcs'!Y329))</f>
        <v/>
      </c>
      <c r="J333" s="30" t="str">
        <f>IF('Imperial Data'!$B$2,'Imperial Calcs'!M329,"")</f>
        <v/>
      </c>
      <c r="K333" s="30"/>
      <c r="L333" s="37" t="str">
        <f>IF('Imperial Data'!$B$2,J333,H333)</f>
        <v/>
      </c>
      <c r="M333" s="112"/>
    </row>
    <row r="334" spans="1:13" x14ac:dyDescent="0.2">
      <c r="A334" s="32" t="str">
        <f t="shared" si="41"/>
        <v/>
      </c>
      <c r="C334" s="35" t="str">
        <f>IF(OR(C333=1,C333=""),"",'Imperial Calcs'!B330)</f>
        <v/>
      </c>
      <c r="D334" s="30" t="str">
        <f>IF(C334="","",'Imperial Calcs'!C330)</f>
        <v/>
      </c>
      <c r="E334" s="30" t="str">
        <f>IF(OR(C333=1,C333=""),"",IF('Imperial Data'!$B$2,'Imperial Calcs'!D330,'Imperial Calcs'!E330))</f>
        <v/>
      </c>
      <c r="F334" s="30" t="str">
        <f>IF(OR(C333=1,C333=""),"",IF('Imperial Data'!$B$2,'Imperial Calcs'!E330,'Imperial Calcs'!G330))</f>
        <v/>
      </c>
      <c r="G334" s="30" t="str">
        <f>IF(OR(C333=1,C333=""),"",IF('Imperial Data'!$B$2,'Imperial Calcs'!F330,'Imperial Calcs'!J330))</f>
        <v/>
      </c>
      <c r="H334" s="30" t="str">
        <f>IF(OR(C333=1,C333=""),"",IF('Imperial Data'!$B$2,'Imperial Calcs'!G330,'Imperial Calcs'!M330))</f>
        <v/>
      </c>
      <c r="I334" s="30" t="str">
        <f>IF(C334="","",IF('Imperial Data'!$B$2,'Imperial Calcs'!J330,'Imperial Calcs'!Y330))</f>
        <v/>
      </c>
      <c r="J334" s="30" t="str">
        <f>IF('Imperial Data'!$B$2,'Imperial Calcs'!M330,"")</f>
        <v/>
      </c>
      <c r="K334" s="30"/>
      <c r="L334" s="37" t="str">
        <f>IF('Imperial Data'!$B$2,J334,H334)</f>
        <v/>
      </c>
      <c r="M334" s="112"/>
    </row>
    <row r="335" spans="1:13" x14ac:dyDescent="0.2">
      <c r="A335" s="32" t="str">
        <f t="shared" si="41"/>
        <v/>
      </c>
      <c r="C335" s="35" t="str">
        <f>IF(OR(C334=1,C334=""),"",'Imperial Calcs'!B331)</f>
        <v/>
      </c>
      <c r="D335" s="30" t="str">
        <f>IF(C335="","",'Imperial Calcs'!C331)</f>
        <v/>
      </c>
      <c r="E335" s="30" t="str">
        <f>IF(OR(C334=1,C334=""),"",IF('Imperial Data'!$B$2,'Imperial Calcs'!D331,'Imperial Calcs'!E331))</f>
        <v/>
      </c>
      <c r="F335" s="30" t="str">
        <f>IF(OR(C334=1,C334=""),"",IF('Imperial Data'!$B$2,'Imperial Calcs'!E331,'Imperial Calcs'!G331))</f>
        <v/>
      </c>
      <c r="G335" s="30" t="str">
        <f>IF(OR(C334=1,C334=""),"",IF('Imperial Data'!$B$2,'Imperial Calcs'!F331,'Imperial Calcs'!J331))</f>
        <v/>
      </c>
      <c r="H335" s="30" t="str">
        <f>IF(OR(C334=1,C334=""),"",IF('Imperial Data'!$B$2,'Imperial Calcs'!G331,'Imperial Calcs'!M331))</f>
        <v/>
      </c>
      <c r="I335" s="30" t="str">
        <f>IF(C335="","",IF('Imperial Data'!$B$2,'Imperial Calcs'!J331,'Imperial Calcs'!Y331))</f>
        <v/>
      </c>
      <c r="J335" s="30" t="str">
        <f>IF('Imperial Data'!$B$2,'Imperial Calcs'!M331,"")</f>
        <v/>
      </c>
      <c r="K335" s="30"/>
      <c r="L335" s="37" t="str">
        <f>IF('Imperial Data'!$B$2,J335,H335)</f>
        <v/>
      </c>
      <c r="M335" s="112"/>
    </row>
    <row r="336" spans="1:13" x14ac:dyDescent="0.2">
      <c r="A336" s="32" t="str">
        <f t="shared" si="41"/>
        <v/>
      </c>
      <c r="C336" s="35" t="str">
        <f>IF(OR(C335=1,C335=""),"",'Imperial Calcs'!B332)</f>
        <v/>
      </c>
      <c r="D336" s="30" t="str">
        <f>IF(C336="","",'Imperial Calcs'!C332)</f>
        <v/>
      </c>
      <c r="E336" s="30" t="str">
        <f>IF(OR(C335=1,C335=""),"",IF('Imperial Data'!$B$2,'Imperial Calcs'!D332,'Imperial Calcs'!E332))</f>
        <v/>
      </c>
      <c r="F336" s="30" t="str">
        <f>IF(OR(C335=1,C335=""),"",IF('Imperial Data'!$B$2,'Imperial Calcs'!E332,'Imperial Calcs'!G332))</f>
        <v/>
      </c>
      <c r="G336" s="30" t="str">
        <f>IF(OR(C335=1,C335=""),"",IF('Imperial Data'!$B$2,'Imperial Calcs'!F332,'Imperial Calcs'!J332))</f>
        <v/>
      </c>
      <c r="H336" s="30" t="str">
        <f>IF(OR(C335=1,C335=""),"",IF('Imperial Data'!$B$2,'Imperial Calcs'!G332,'Imperial Calcs'!M332))</f>
        <v/>
      </c>
      <c r="I336" s="30" t="str">
        <f>IF(C336="","",IF('Imperial Data'!$B$2,'Imperial Calcs'!J332,'Imperial Calcs'!Y332))</f>
        <v/>
      </c>
      <c r="J336" s="30" t="str">
        <f>IF('Imperial Data'!$B$2,'Imperial Calcs'!M332,"")</f>
        <v/>
      </c>
      <c r="K336" s="30"/>
      <c r="L336" s="37" t="str">
        <f>IF('Imperial Data'!$B$2,J336,H336)</f>
        <v/>
      </c>
      <c r="M336" s="112"/>
    </row>
    <row r="337" spans="1:13" x14ac:dyDescent="0.2">
      <c r="A337" s="32" t="str">
        <f t="shared" si="41"/>
        <v/>
      </c>
      <c r="C337" s="35" t="str">
        <f>IF(OR(C336=1,C336=""),"",'Imperial Calcs'!B333)</f>
        <v/>
      </c>
      <c r="D337" s="30" t="str">
        <f>IF(C337="","",'Imperial Calcs'!C333)</f>
        <v/>
      </c>
      <c r="E337" s="30" t="str">
        <f>IF(OR(C336=1,C336=""),"",IF('Imperial Data'!$B$2,'Imperial Calcs'!D333,'Imperial Calcs'!E333))</f>
        <v/>
      </c>
      <c r="F337" s="30" t="str">
        <f>IF(OR(C336=1,C336=""),"",IF('Imperial Data'!$B$2,'Imperial Calcs'!E333,'Imperial Calcs'!G333))</f>
        <v/>
      </c>
      <c r="G337" s="30" t="str">
        <f>IF(OR(C336=1,C336=""),"",IF('Imperial Data'!$B$2,'Imperial Calcs'!F333,'Imperial Calcs'!J333))</f>
        <v/>
      </c>
      <c r="H337" s="30" t="str">
        <f>IF(OR(C336=1,C336=""),"",IF('Imperial Data'!$B$2,'Imperial Calcs'!G333,'Imperial Calcs'!M333))</f>
        <v/>
      </c>
      <c r="I337" s="30" t="str">
        <f>IF(C337="","",IF('Imperial Data'!$B$2,'Imperial Calcs'!J333,'Imperial Calcs'!Y333))</f>
        <v/>
      </c>
      <c r="J337" s="30" t="str">
        <f>IF('Imperial Data'!$B$2,'Imperial Calcs'!M333,"")</f>
        <v/>
      </c>
      <c r="K337" s="30"/>
      <c r="L337" s="37" t="str">
        <f>IF('Imperial Data'!$B$2,J337,H337)</f>
        <v/>
      </c>
      <c r="M337" s="112"/>
    </row>
    <row r="338" spans="1:13" x14ac:dyDescent="0.2">
      <c r="A338" s="32" t="str">
        <f t="shared" ref="A338:A354" si="42">IF(C338&lt;&gt;"",A337+1,"")</f>
        <v/>
      </c>
      <c r="C338" s="35" t="str">
        <f>IF(OR(C337=1,C337=""),"",'Imperial Calcs'!B334)</f>
        <v/>
      </c>
      <c r="D338" s="30" t="str">
        <f>IF(C338="","",'Imperial Calcs'!C334)</f>
        <v/>
      </c>
      <c r="E338" s="30" t="str">
        <f>IF(OR(C337=1,C337=""),"",IF('Imperial Data'!$B$2,'Imperial Calcs'!D334,'Imperial Calcs'!E334))</f>
        <v/>
      </c>
      <c r="F338" s="30" t="str">
        <f>IF(OR(C337=1,C337=""),"",IF('Imperial Data'!$B$2,'Imperial Calcs'!E334,'Imperial Calcs'!G334))</f>
        <v/>
      </c>
      <c r="G338" s="30" t="str">
        <f>IF(OR(C337=1,C337=""),"",IF('Imperial Data'!$B$2,'Imperial Calcs'!F334,'Imperial Calcs'!J334))</f>
        <v/>
      </c>
      <c r="H338" s="30" t="str">
        <f>IF(OR(C337=1,C337=""),"",IF('Imperial Data'!$B$2,'Imperial Calcs'!G334,'Imperial Calcs'!M334))</f>
        <v/>
      </c>
      <c r="I338" s="30" t="str">
        <f>IF(C338="","",IF('Imperial Data'!$B$2,'Imperial Calcs'!J334,'Imperial Calcs'!Y334))</f>
        <v/>
      </c>
      <c r="J338" s="30" t="str">
        <f>IF('Imperial Data'!$B$2,'Imperial Calcs'!M334,"")</f>
        <v/>
      </c>
      <c r="K338" s="30"/>
      <c r="L338" s="37" t="str">
        <f>IF('Imperial Data'!$B$2,J338,H338)</f>
        <v/>
      </c>
      <c r="M338" s="112"/>
    </row>
    <row r="339" spans="1:13" x14ac:dyDescent="0.2">
      <c r="A339" s="32" t="str">
        <f t="shared" si="42"/>
        <v/>
      </c>
      <c r="C339" s="35" t="str">
        <f>IF(OR(C338=1,C338=""),"",'Imperial Calcs'!B335)</f>
        <v/>
      </c>
      <c r="D339" s="30" t="str">
        <f>IF(C339="","",'Imperial Calcs'!C335)</f>
        <v/>
      </c>
      <c r="E339" s="30" t="str">
        <f>IF(OR(C338=1,C338=""),"",IF('Imperial Data'!$B$2,'Imperial Calcs'!D335,'Imperial Calcs'!E335))</f>
        <v/>
      </c>
      <c r="F339" s="30" t="str">
        <f>IF(OR(C338=1,C338=""),"",IF('Imperial Data'!$B$2,'Imperial Calcs'!E335,'Imperial Calcs'!G335))</f>
        <v/>
      </c>
      <c r="G339" s="30" t="str">
        <f>IF(OR(C338=1,C338=""),"",IF('Imperial Data'!$B$2,'Imperial Calcs'!F335,'Imperial Calcs'!J335))</f>
        <v/>
      </c>
      <c r="H339" s="30" t="str">
        <f>IF(OR(C338=1,C338=""),"",IF('Imperial Data'!$B$2,'Imperial Calcs'!G335,'Imperial Calcs'!M335))</f>
        <v/>
      </c>
      <c r="I339" s="30" t="str">
        <f>IF(C339="","",IF('Imperial Data'!$B$2,'Imperial Calcs'!J335,'Imperial Calcs'!Y335))</f>
        <v/>
      </c>
      <c r="J339" s="30" t="str">
        <f>IF('Imperial Data'!$B$2,'Imperial Calcs'!M335,"")</f>
        <v/>
      </c>
      <c r="K339" s="30"/>
      <c r="L339" s="37" t="str">
        <f>IF('Imperial Data'!$B$2,J339,H339)</f>
        <v/>
      </c>
      <c r="M339" s="112"/>
    </row>
    <row r="340" spans="1:13" x14ac:dyDescent="0.2">
      <c r="A340" s="32" t="str">
        <f t="shared" si="42"/>
        <v/>
      </c>
      <c r="C340" s="35" t="str">
        <f>IF(OR(C339=1,C339=""),"",'Imperial Calcs'!B336)</f>
        <v/>
      </c>
      <c r="D340" s="30" t="str">
        <f>IF(C340="","",'Imperial Calcs'!C336)</f>
        <v/>
      </c>
      <c r="E340" s="30" t="str">
        <f>IF(OR(C339=1,C339=""),"",IF('Imperial Data'!$B$2,'Imperial Calcs'!D336,'Imperial Calcs'!E336))</f>
        <v/>
      </c>
      <c r="F340" s="30" t="str">
        <f>IF(OR(C339=1,C339=""),"",IF('Imperial Data'!$B$2,'Imperial Calcs'!E336,'Imperial Calcs'!G336))</f>
        <v/>
      </c>
      <c r="G340" s="30" t="str">
        <f>IF(OR(C339=1,C339=""),"",IF('Imperial Data'!$B$2,'Imperial Calcs'!F336,'Imperial Calcs'!J336))</f>
        <v/>
      </c>
      <c r="H340" s="30" t="str">
        <f>IF(OR(C339=1,C339=""),"",IF('Imperial Data'!$B$2,'Imperial Calcs'!G336,'Imperial Calcs'!M336))</f>
        <v/>
      </c>
      <c r="I340" s="30" t="str">
        <f>IF(C340="","",IF('Imperial Data'!$B$2,'Imperial Calcs'!J336,'Imperial Calcs'!Y336))</f>
        <v/>
      </c>
      <c r="J340" s="30" t="str">
        <f>IF('Imperial Data'!$B$2,'Imperial Calcs'!M336,"")</f>
        <v/>
      </c>
      <c r="K340" s="30"/>
      <c r="L340" s="37" t="str">
        <f>IF('Imperial Data'!$B$2,J340,H340)</f>
        <v/>
      </c>
      <c r="M340" s="112"/>
    </row>
    <row r="341" spans="1:13" x14ac:dyDescent="0.2">
      <c r="A341" s="32" t="str">
        <f t="shared" si="42"/>
        <v/>
      </c>
      <c r="C341" s="35" t="str">
        <f>IF(OR(C340=1,C340=""),"",'Imperial Calcs'!B337)</f>
        <v/>
      </c>
      <c r="D341" s="30" t="str">
        <f>IF(C341="","",'Imperial Calcs'!C337)</f>
        <v/>
      </c>
      <c r="E341" s="30" t="str">
        <f>IF(OR(C340=1,C340=""),"",IF('Imperial Data'!$B$2,'Imperial Calcs'!D337,'Imperial Calcs'!E337))</f>
        <v/>
      </c>
      <c r="F341" s="30" t="str">
        <f>IF(OR(C340=1,C340=""),"",IF('Imperial Data'!$B$2,'Imperial Calcs'!E337,'Imperial Calcs'!G337))</f>
        <v/>
      </c>
      <c r="G341" s="30" t="str">
        <f>IF(OR(C340=1,C340=""),"",IF('Imperial Data'!$B$2,'Imperial Calcs'!F337,'Imperial Calcs'!J337))</f>
        <v/>
      </c>
      <c r="H341" s="30" t="str">
        <f>IF(OR(C340=1,C340=""),"",IF('Imperial Data'!$B$2,'Imperial Calcs'!G337,'Imperial Calcs'!M337))</f>
        <v/>
      </c>
      <c r="I341" s="30" t="str">
        <f>IF(C341="","",IF('Imperial Data'!$B$2,'Imperial Calcs'!J337,'Imperial Calcs'!Y337))</f>
        <v/>
      </c>
      <c r="J341" s="30" t="str">
        <f>IF('Imperial Data'!$B$2,'Imperial Calcs'!M337,"")</f>
        <v/>
      </c>
      <c r="K341" s="30"/>
      <c r="L341" s="37" t="str">
        <f>IF('Imperial Data'!$B$2,J341,H341)</f>
        <v/>
      </c>
      <c r="M341" s="112"/>
    </row>
    <row r="342" spans="1:13" x14ac:dyDescent="0.2">
      <c r="A342" s="32" t="str">
        <f t="shared" si="42"/>
        <v/>
      </c>
      <c r="C342" s="35" t="str">
        <f>IF(OR(C341=1,C341=""),"",'Imperial Calcs'!B338)</f>
        <v/>
      </c>
      <c r="D342" s="30" t="str">
        <f>IF(C342="","",'Imperial Calcs'!C338)</f>
        <v/>
      </c>
      <c r="E342" s="30" t="str">
        <f>IF(OR(C341=1,C341=""),"",IF('Imperial Data'!$B$2,'Imperial Calcs'!D338,'Imperial Calcs'!E338))</f>
        <v/>
      </c>
      <c r="F342" s="30" t="str">
        <f>IF(OR(C341=1,C341=""),"",IF('Imperial Data'!$B$2,'Imperial Calcs'!E338,'Imperial Calcs'!G338))</f>
        <v/>
      </c>
      <c r="G342" s="30" t="str">
        <f>IF(OR(C341=1,C341=""),"",IF('Imperial Data'!$B$2,'Imperial Calcs'!F338,'Imperial Calcs'!J338))</f>
        <v/>
      </c>
      <c r="H342" s="30" t="str">
        <f>IF(OR(C341=1,C341=""),"",IF('Imperial Data'!$B$2,'Imperial Calcs'!G338,'Imperial Calcs'!M338))</f>
        <v/>
      </c>
      <c r="I342" s="30" t="str">
        <f>IF(C342="","",IF('Imperial Data'!$B$2,'Imperial Calcs'!J338,'Imperial Calcs'!Y338))</f>
        <v/>
      </c>
      <c r="J342" s="30" t="str">
        <f>IF('Imperial Data'!$B$2,'Imperial Calcs'!M338,"")</f>
        <v/>
      </c>
      <c r="K342" s="30"/>
      <c r="L342" s="37" t="str">
        <f>IF('Imperial Data'!$B$2,J342,H342)</f>
        <v/>
      </c>
      <c r="M342" s="112"/>
    </row>
    <row r="343" spans="1:13" x14ac:dyDescent="0.2">
      <c r="A343" s="32" t="str">
        <f t="shared" si="42"/>
        <v/>
      </c>
      <c r="C343" s="35" t="str">
        <f>IF(OR(C342=1,C342=""),"",'Imperial Calcs'!B339)</f>
        <v/>
      </c>
      <c r="D343" s="30" t="str">
        <f>IF(C343="","",'Imperial Calcs'!C339)</f>
        <v/>
      </c>
      <c r="E343" s="30" t="str">
        <f>IF(OR(C342=1,C342=""),"",IF('Imperial Data'!$B$2,'Imperial Calcs'!D339,'Imperial Calcs'!E339))</f>
        <v/>
      </c>
      <c r="F343" s="30" t="str">
        <f>IF(OR(C342=1,C342=""),"",IF('Imperial Data'!$B$2,'Imperial Calcs'!E339,'Imperial Calcs'!G339))</f>
        <v/>
      </c>
      <c r="G343" s="30" t="str">
        <f>IF(OR(C342=1,C342=""),"",IF('Imperial Data'!$B$2,'Imperial Calcs'!F339,'Imperial Calcs'!J339))</f>
        <v/>
      </c>
      <c r="H343" s="30" t="str">
        <f>IF(OR(C342=1,C342=""),"",IF('Imperial Data'!$B$2,'Imperial Calcs'!G339,'Imperial Calcs'!M339))</f>
        <v/>
      </c>
      <c r="I343" s="30" t="str">
        <f>IF(C343="","",IF('Imperial Data'!$B$2,'Imperial Calcs'!J339,'Imperial Calcs'!Y339))</f>
        <v/>
      </c>
      <c r="J343" s="30" t="str">
        <f>IF('Imperial Data'!$B$2,'Imperial Calcs'!M339,"")</f>
        <v/>
      </c>
      <c r="K343" s="30"/>
      <c r="L343" s="37" t="str">
        <f>IF('Imperial Data'!$B$2,J343,H343)</f>
        <v/>
      </c>
      <c r="M343" s="112"/>
    </row>
    <row r="344" spans="1:13" x14ac:dyDescent="0.2">
      <c r="A344" s="32" t="str">
        <f t="shared" si="42"/>
        <v/>
      </c>
      <c r="C344" s="35" t="str">
        <f>IF(OR(C343=1,C343=""),"",'Imperial Calcs'!B340)</f>
        <v/>
      </c>
      <c r="D344" s="30" t="str">
        <f>IF(C344="","",'Imperial Calcs'!C340)</f>
        <v/>
      </c>
      <c r="E344" s="30" t="str">
        <f>IF(OR(C343=1,C343=""),"",IF('Imperial Data'!$B$2,'Imperial Calcs'!D340,'Imperial Calcs'!E340))</f>
        <v/>
      </c>
      <c r="F344" s="30" t="str">
        <f>IF(OR(C343=1,C343=""),"",IF('Imperial Data'!$B$2,'Imperial Calcs'!E340,'Imperial Calcs'!G340))</f>
        <v/>
      </c>
      <c r="G344" s="30" t="str">
        <f>IF(OR(C343=1,C343=""),"",IF('Imperial Data'!$B$2,'Imperial Calcs'!F340,'Imperial Calcs'!J340))</f>
        <v/>
      </c>
      <c r="H344" s="30" t="str">
        <f>IF(OR(C343=1,C343=""),"",IF('Imperial Data'!$B$2,'Imperial Calcs'!G340,'Imperial Calcs'!M340))</f>
        <v/>
      </c>
      <c r="I344" s="30" t="str">
        <f>IF(C344="","",IF('Imperial Data'!$B$2,'Imperial Calcs'!J340,'Imperial Calcs'!Y340))</f>
        <v/>
      </c>
      <c r="J344" s="30" t="str">
        <f>IF('Imperial Data'!$B$2,'Imperial Calcs'!M340,"")</f>
        <v/>
      </c>
      <c r="K344" s="30"/>
      <c r="L344" s="37" t="str">
        <f>IF('Imperial Data'!$B$2,J344,H344)</f>
        <v/>
      </c>
      <c r="M344" s="112"/>
    </row>
    <row r="345" spans="1:13" x14ac:dyDescent="0.2">
      <c r="A345" s="32" t="str">
        <f t="shared" si="42"/>
        <v/>
      </c>
      <c r="C345" s="35" t="str">
        <f>IF(OR(C344=1,C344=""),"",'Imperial Calcs'!B341)</f>
        <v/>
      </c>
      <c r="D345" s="30" t="str">
        <f>IF(C345="","",'Imperial Calcs'!C341)</f>
        <v/>
      </c>
      <c r="E345" s="30" t="str">
        <f>IF(OR(C344=1,C344=""),"",IF('Imperial Data'!$B$2,'Imperial Calcs'!D341,'Imperial Calcs'!E341))</f>
        <v/>
      </c>
      <c r="F345" s="30" t="str">
        <f>IF(OR(C344=1,C344=""),"",IF('Imperial Data'!$B$2,'Imperial Calcs'!E341,'Imperial Calcs'!G341))</f>
        <v/>
      </c>
      <c r="G345" s="30" t="str">
        <f>IF(OR(C344=1,C344=""),"",IF('Imperial Data'!$B$2,'Imperial Calcs'!F341,'Imperial Calcs'!J341))</f>
        <v/>
      </c>
      <c r="H345" s="30" t="str">
        <f>IF(OR(C344=1,C344=""),"",IF('Imperial Data'!$B$2,'Imperial Calcs'!G341,'Imperial Calcs'!M341))</f>
        <v/>
      </c>
      <c r="I345" s="30" t="str">
        <f>IF(C345="","",IF('Imperial Data'!$B$2,'Imperial Calcs'!J341,'Imperial Calcs'!Y341))</f>
        <v/>
      </c>
      <c r="J345" s="30" t="str">
        <f>IF('Imperial Data'!$B$2,'Imperial Calcs'!M341,"")</f>
        <v/>
      </c>
      <c r="K345" s="30"/>
      <c r="L345" s="37" t="str">
        <f>IF('Imperial Data'!$B$2,J345,H345)</f>
        <v/>
      </c>
    </row>
    <row r="346" spans="1:13" x14ac:dyDescent="0.2">
      <c r="A346" s="32" t="str">
        <f t="shared" si="42"/>
        <v/>
      </c>
      <c r="C346" s="35" t="str">
        <f>IF(OR(C345=1,C345=""),"",'Imperial Calcs'!B342)</f>
        <v/>
      </c>
      <c r="D346" s="30" t="str">
        <f>IF(C346="","",'Imperial Calcs'!C342)</f>
        <v/>
      </c>
      <c r="E346" s="30" t="str">
        <f>IF(OR(C345=1,C345=""),"",IF('Imperial Data'!$B$2,'Imperial Calcs'!D342,'Imperial Calcs'!E342))</f>
        <v/>
      </c>
      <c r="F346" s="30" t="str">
        <f>IF(OR(C345=1,C345=""),"",IF('Imperial Data'!$B$2,'Imperial Calcs'!E342,'Imperial Calcs'!G342))</f>
        <v/>
      </c>
      <c r="G346" s="30" t="str">
        <f>IF(OR(C345=1,C345=""),"",IF('Imperial Data'!$B$2,'Imperial Calcs'!F342,'Imperial Calcs'!J342))</f>
        <v/>
      </c>
      <c r="H346" s="30" t="str">
        <f>IF(OR(C345=1,C345=""),"",IF('Imperial Data'!$B$2,'Imperial Calcs'!G342,'Imperial Calcs'!M342))</f>
        <v/>
      </c>
      <c r="I346" s="30" t="str">
        <f>IF(C346="","",IF('Imperial Data'!$B$2,'Imperial Calcs'!J342,'Imperial Calcs'!Y342))</f>
        <v/>
      </c>
      <c r="J346" s="30" t="str">
        <f>IF('Imperial Data'!$B$2,'Imperial Calcs'!M342,"")</f>
        <v/>
      </c>
      <c r="K346" s="30"/>
      <c r="L346" s="37" t="str">
        <f>IF('Imperial Data'!$B$2,J346,H346)</f>
        <v/>
      </c>
    </row>
    <row r="347" spans="1:13" x14ac:dyDescent="0.2">
      <c r="A347" s="32" t="str">
        <f t="shared" si="42"/>
        <v/>
      </c>
      <c r="C347" s="35" t="str">
        <f>IF(OR(C346=1,C346=""),"",'Imperial Calcs'!B343)</f>
        <v/>
      </c>
      <c r="D347" s="30" t="str">
        <f>IF(C347="","",'Imperial Calcs'!C343)</f>
        <v/>
      </c>
      <c r="E347" s="30" t="str">
        <f>IF(OR(C346=1,C346=""),"",IF('Imperial Data'!$B$2,'Imperial Calcs'!D343,'Imperial Calcs'!E343))</f>
        <v/>
      </c>
      <c r="F347" s="30" t="str">
        <f>IF(OR(C346=1,C346=""),"",IF('Imperial Data'!$B$2,'Imperial Calcs'!E343,'Imperial Calcs'!G343))</f>
        <v/>
      </c>
      <c r="G347" s="30" t="str">
        <f>IF(OR(C346=1,C346=""),"",IF('Imperial Data'!$B$2,'Imperial Calcs'!F343,'Imperial Calcs'!J343))</f>
        <v/>
      </c>
      <c r="H347" s="30" t="str">
        <f>IF(OR(C346=1,C346=""),"",IF('Imperial Data'!$B$2,'Imperial Calcs'!G343,'Imperial Calcs'!M343))</f>
        <v/>
      </c>
      <c r="I347" s="30" t="str">
        <f>IF(C347="","",IF('Imperial Data'!$B$2,'Imperial Calcs'!J343,'Imperial Calcs'!Y343))</f>
        <v/>
      </c>
      <c r="J347" s="30" t="str">
        <f>IF('Imperial Data'!$B$2,'Imperial Calcs'!M343,"")</f>
        <v/>
      </c>
      <c r="K347" s="30"/>
      <c r="L347" s="37" t="str">
        <f>IF('Imperial Data'!$B$2,J347,H347)</f>
        <v/>
      </c>
    </row>
    <row r="348" spans="1:13" x14ac:dyDescent="0.2">
      <c r="A348" s="32" t="str">
        <f t="shared" si="42"/>
        <v/>
      </c>
      <c r="C348" s="35" t="str">
        <f>IF(OR(C347=1,C347=""),"",'Imperial Calcs'!B344)</f>
        <v/>
      </c>
      <c r="D348" s="30" t="str">
        <f>IF(C348="","",'Imperial Calcs'!C344)</f>
        <v/>
      </c>
      <c r="E348" s="30" t="str">
        <f>IF(OR(C347=1,C347=""),"",IF('Imperial Data'!$B$2,'Imperial Calcs'!D344,'Imperial Calcs'!E344))</f>
        <v/>
      </c>
      <c r="F348" s="30" t="str">
        <f>IF(OR(C347=1,C347=""),"",IF('Imperial Data'!$B$2,'Imperial Calcs'!E344,'Imperial Calcs'!G344))</f>
        <v/>
      </c>
      <c r="G348" s="30" t="str">
        <f>IF(OR(C347=1,C347=""),"",IF('Imperial Data'!$B$2,'Imperial Calcs'!F344,'Imperial Calcs'!J344))</f>
        <v/>
      </c>
      <c r="H348" s="30" t="str">
        <f>IF(OR(C347=1,C347=""),"",IF('Imperial Data'!$B$2,'Imperial Calcs'!G344,'Imperial Calcs'!M344))</f>
        <v/>
      </c>
      <c r="I348" s="30" t="str">
        <f>IF(C348="","",IF('Imperial Data'!$B$2,'Imperial Calcs'!J344,'Imperial Calcs'!Y344))</f>
        <v/>
      </c>
      <c r="J348" s="30" t="str">
        <f>IF('Imperial Data'!$B$2,'Imperial Calcs'!M344,"")</f>
        <v/>
      </c>
      <c r="K348" s="30"/>
      <c r="L348" s="37" t="str">
        <f>IF('Imperial Data'!$B$2,J348,H348)</f>
        <v/>
      </c>
    </row>
    <row r="349" spans="1:13" x14ac:dyDescent="0.2">
      <c r="A349" s="32" t="str">
        <f t="shared" si="42"/>
        <v/>
      </c>
      <c r="C349" s="35" t="str">
        <f>IF(OR(C348=1,C348=""),"",'Imperial Calcs'!B345)</f>
        <v/>
      </c>
      <c r="D349" s="30" t="str">
        <f>IF(C349="","",'Imperial Calcs'!C345)</f>
        <v/>
      </c>
      <c r="E349" s="30" t="str">
        <f>IF(OR(C348=1,C348=""),"",IF('Imperial Data'!$B$2,'Imperial Calcs'!D345,'Imperial Calcs'!E345))</f>
        <v/>
      </c>
      <c r="F349" s="30" t="str">
        <f>IF(OR(C348=1,C348=""),"",IF('Imperial Data'!$B$2,'Imperial Calcs'!E345,'Imperial Calcs'!G345))</f>
        <v/>
      </c>
      <c r="G349" s="30" t="str">
        <f>IF(OR(C348=1,C348=""),"",IF('Imperial Data'!$B$2,'Imperial Calcs'!F345,'Imperial Calcs'!J345))</f>
        <v/>
      </c>
      <c r="H349" s="30" t="str">
        <f>IF(OR(C348=1,C348=""),"",IF('Imperial Data'!$B$2,'Imperial Calcs'!G345,'Imperial Calcs'!M345))</f>
        <v/>
      </c>
      <c r="I349" s="30" t="str">
        <f>IF(C349="","",IF('Imperial Data'!$B$2,'Imperial Calcs'!J345,'Imperial Calcs'!Y345))</f>
        <v/>
      </c>
      <c r="J349" s="30" t="str">
        <f>IF('Imperial Data'!$B$2,'Imperial Calcs'!M345,"")</f>
        <v/>
      </c>
      <c r="K349" s="30"/>
      <c r="L349" s="37" t="str">
        <f>IF('Imperial Data'!$B$2,J349,H349)</f>
        <v/>
      </c>
    </row>
    <row r="350" spans="1:13" x14ac:dyDescent="0.2">
      <c r="A350" s="32" t="str">
        <f t="shared" si="42"/>
        <v/>
      </c>
      <c r="C350" s="35" t="str">
        <f>IF(OR(C349=1,C349=""),"",'Imperial Calcs'!B346)</f>
        <v/>
      </c>
      <c r="D350" s="30" t="str">
        <f>IF(C350="","",'Imperial Calcs'!C346)</f>
        <v/>
      </c>
      <c r="E350" s="30" t="str">
        <f>IF(OR(C349=1,C349=""),"",IF('Imperial Data'!$B$2,'Imperial Calcs'!D346,'Imperial Calcs'!E346))</f>
        <v/>
      </c>
      <c r="F350" s="30" t="str">
        <f>IF(OR(C349=1,C349=""),"",IF('Imperial Data'!$B$2,'Imperial Calcs'!E346,'Imperial Calcs'!G346))</f>
        <v/>
      </c>
      <c r="G350" s="30" t="str">
        <f>IF(OR(C349=1,C349=""),"",IF('Imperial Data'!$B$2,'Imperial Calcs'!F346,'Imperial Calcs'!J346))</f>
        <v/>
      </c>
      <c r="H350" s="30" t="str">
        <f>IF(OR(C349=1,C349=""),"",IF('Imperial Data'!$B$2,'Imperial Calcs'!G346,'Imperial Calcs'!M346))</f>
        <v/>
      </c>
      <c r="I350" s="30" t="str">
        <f>IF(C350="","",IF('Imperial Data'!$B$2,'Imperial Calcs'!J346,'Imperial Calcs'!Y346))</f>
        <v/>
      </c>
      <c r="J350" s="30" t="str">
        <f>IF('Imperial Data'!$B$2,'Imperial Calcs'!M346,"")</f>
        <v/>
      </c>
      <c r="K350" s="30"/>
      <c r="L350" s="37" t="str">
        <f>IF('Imperial Data'!$B$2,J350,H350)</f>
        <v/>
      </c>
    </row>
    <row r="351" spans="1:13" x14ac:dyDescent="0.2">
      <c r="A351" s="32" t="str">
        <f t="shared" si="42"/>
        <v/>
      </c>
      <c r="C351" s="35" t="str">
        <f>IF(OR(C350=1,C350=""),"",'Imperial Calcs'!B347)</f>
        <v/>
      </c>
      <c r="D351" s="30" t="str">
        <f>IF(C351="","",'Imperial Calcs'!C347)</f>
        <v/>
      </c>
      <c r="E351" s="30" t="str">
        <f>IF(OR(C350=1,C350=""),"",IF('Imperial Data'!$B$2,'Imperial Calcs'!D347,'Imperial Calcs'!E347))</f>
        <v/>
      </c>
      <c r="F351" s="30" t="str">
        <f>IF(OR(C350=1,C350=""),"",IF('Imperial Data'!$B$2,'Imperial Calcs'!E347,'Imperial Calcs'!G347))</f>
        <v/>
      </c>
      <c r="G351" s="30" t="str">
        <f>IF(OR(C350=1,C350=""),"",IF('Imperial Data'!$B$2,'Imperial Calcs'!F347,'Imperial Calcs'!J347))</f>
        <v/>
      </c>
      <c r="H351" s="30" t="str">
        <f>IF(OR(C350=1,C350=""),"",IF('Imperial Data'!$B$2,'Imperial Calcs'!G347,'Imperial Calcs'!M347))</f>
        <v/>
      </c>
      <c r="I351" s="30" t="str">
        <f>IF(C351="","",IF('Imperial Data'!$B$2,'Imperial Calcs'!J347,'Imperial Calcs'!Y347))</f>
        <v/>
      </c>
      <c r="J351" s="30" t="str">
        <f>IF('Imperial Data'!$B$2,'Imperial Calcs'!M347,"")</f>
        <v/>
      </c>
      <c r="K351" s="30"/>
      <c r="L351" s="37" t="str">
        <f>IF('Imperial Data'!$B$2,J351,H351)</f>
        <v/>
      </c>
    </row>
    <row r="352" spans="1:13" x14ac:dyDescent="0.2">
      <c r="A352" s="32" t="str">
        <f t="shared" si="42"/>
        <v/>
      </c>
      <c r="C352" s="35" t="str">
        <f>IF(OR(C351=1,C351=""),"",'Imperial Calcs'!B348)</f>
        <v/>
      </c>
      <c r="D352" s="30" t="str">
        <f>IF(C352="","",'Imperial Calcs'!C348)</f>
        <v/>
      </c>
      <c r="E352" s="30" t="str">
        <f>IF(OR(C351=1,C351=""),"",IF('Imperial Data'!$B$2,'Imperial Calcs'!D348,'Imperial Calcs'!E348))</f>
        <v/>
      </c>
      <c r="F352" s="30" t="str">
        <f>IF(OR(C351=1,C351=""),"",IF('Imperial Data'!$B$2,'Imperial Calcs'!E348,'Imperial Calcs'!G348))</f>
        <v/>
      </c>
      <c r="G352" s="30" t="str">
        <f>IF(OR(C351=1,C351=""),"",IF('Imperial Data'!$B$2,'Imperial Calcs'!F348,'Imperial Calcs'!J348))</f>
        <v/>
      </c>
      <c r="H352" s="30" t="str">
        <f>IF(OR(C351=1,C351=""),"",IF('Imperial Data'!$B$2,'Imperial Calcs'!G348,'Imperial Calcs'!M348))</f>
        <v/>
      </c>
      <c r="I352" s="30" t="str">
        <f>IF(C352="","",IF('Imperial Data'!$B$2,'Imperial Calcs'!J348,'Imperial Calcs'!Y348))</f>
        <v/>
      </c>
      <c r="J352" s="30" t="str">
        <f>IF('Imperial Data'!$B$2,'Imperial Calcs'!M348,"")</f>
        <v/>
      </c>
      <c r="K352" s="30"/>
      <c r="L352" s="37" t="str">
        <f>IF('Imperial Data'!$B$2,J352,H352)</f>
        <v/>
      </c>
    </row>
    <row r="353" spans="1:12" x14ac:dyDescent="0.2">
      <c r="A353" s="32" t="str">
        <f t="shared" si="42"/>
        <v/>
      </c>
      <c r="C353" s="35" t="str">
        <f>IF(OR(C352=1,C352=""),"",'Imperial Calcs'!B349)</f>
        <v/>
      </c>
      <c r="D353" s="30" t="str">
        <f>IF(C353="","",'Imperial Calcs'!C349)</f>
        <v/>
      </c>
      <c r="E353" s="30" t="str">
        <f>IF(OR(C352=1,C352=""),"",IF('Imperial Data'!$B$2,'Imperial Calcs'!D349,'Imperial Calcs'!E349))</f>
        <v/>
      </c>
      <c r="F353" s="30" t="str">
        <f>IF(OR(C352=1,C352=""),"",IF('Imperial Data'!$B$2,'Imperial Calcs'!E349,'Imperial Calcs'!G349))</f>
        <v/>
      </c>
      <c r="G353" s="30" t="str">
        <f>IF(OR(C352=1,C352=""),"",IF('Imperial Data'!$B$2,'Imperial Calcs'!F349,'Imperial Calcs'!J349))</f>
        <v/>
      </c>
      <c r="H353" s="30" t="str">
        <f>IF(OR(C352=1,C352=""),"",IF('Imperial Data'!$B$2,'Imperial Calcs'!G349,'Imperial Calcs'!M349))</f>
        <v/>
      </c>
      <c r="I353" s="30" t="str">
        <f>IF(C353="","",IF('Imperial Data'!$B$2,'Imperial Calcs'!J349,'Imperial Calcs'!Y349))</f>
        <v/>
      </c>
      <c r="J353" s="30" t="str">
        <f>IF('Imperial Data'!$B$2,'Imperial Calcs'!M349,"")</f>
        <v/>
      </c>
      <c r="K353" s="30"/>
      <c r="L353" s="37" t="str">
        <f>IF('Imperial Data'!$B$2,J353,H353)</f>
        <v/>
      </c>
    </row>
    <row r="354" spans="1:12" x14ac:dyDescent="0.2">
      <c r="A354" s="32" t="str">
        <f t="shared" si="42"/>
        <v/>
      </c>
      <c r="C354" s="35" t="str">
        <f>IF(OR(C353=1,C353=""),"",'Imperial Calcs'!B350)</f>
        <v/>
      </c>
      <c r="D354" s="30" t="str">
        <f>IF(C354="","",'Imperial Calcs'!C350)</f>
        <v/>
      </c>
      <c r="E354" s="30" t="str">
        <f>IF(OR(C353=1,C353=""),"",IF('Imperial Data'!$B$2,'Imperial Calcs'!D350,'Imperial Calcs'!E350))</f>
        <v/>
      </c>
      <c r="F354" s="30" t="str">
        <f>IF(OR(C353=1,C353=""),"",IF('Imperial Data'!$B$2,'Imperial Calcs'!E350,'Imperial Calcs'!G350))</f>
        <v/>
      </c>
      <c r="G354" s="30" t="str">
        <f>IF(OR(C353=1,C353=""),"",IF('Imperial Data'!$B$2,'Imperial Calcs'!F350,'Imperial Calcs'!J350))</f>
        <v/>
      </c>
      <c r="H354" s="30" t="str">
        <f>IF(OR(C353=1,C353=""),"",IF('Imperial Data'!$B$2,'Imperial Calcs'!G350,'Imperial Calcs'!M350))</f>
        <v/>
      </c>
      <c r="I354" s="30" t="str">
        <f>IF(C354="","",IF('Imperial Data'!$B$2,'Imperial Calcs'!J350,'Imperial Calcs'!Y350))</f>
        <v/>
      </c>
      <c r="J354" s="30" t="str">
        <f>IF('Imperial Data'!$B$2,'Imperial Calcs'!M350,"")</f>
        <v/>
      </c>
      <c r="K354" s="30"/>
      <c r="L354" s="37" t="str">
        <f>IF('Imperial Data'!$B$2,J354,H354)</f>
        <v/>
      </c>
    </row>
    <row r="355" spans="1:12" x14ac:dyDescent="0.2">
      <c r="A355" s="131"/>
      <c r="B355" s="131"/>
      <c r="C355" s="35"/>
      <c r="D355" s="30" t="str">
        <f>IF(C355="","",'Imperial Calcs'!C351)</f>
        <v/>
      </c>
      <c r="E355" s="30" t="str">
        <f>IF(OR(C354=1,C354=""),"",IF('Imperial Data'!$B$2,'Imperial Calcs'!D351,'Imperial Calcs'!E351))</f>
        <v/>
      </c>
      <c r="F355" s="30" t="str">
        <f>IF(OR(C354=1,C354=""),"",IF('Imperial Data'!$B$2,'Imperial Calcs'!E351,'Imperial Calcs'!G351))</f>
        <v/>
      </c>
      <c r="G355" s="30" t="str">
        <f>IF(OR(C354=1,C354=""),"",IF('Imperial Data'!$B$2,'Imperial Calcs'!F351,'Imperial Calcs'!J351))</f>
        <v/>
      </c>
      <c r="H355" s="30" t="str">
        <f>IF(OR(C354=1,C354=""),"",IF('Imperial Data'!$B$2,'Imperial Calcs'!G351,'Imperial Calcs'!M351))</f>
        <v/>
      </c>
      <c r="I355" s="30" t="str">
        <f>IF(C355="","",IF('Imperial Data'!$B$2,'Imperial Calcs'!J351,'Imperial Calcs'!Y351))</f>
        <v/>
      </c>
      <c r="J355" s="30" t="str">
        <f>IF('Imperial Data'!$B$2,'Imperial Calcs'!M351,"")</f>
        <v/>
      </c>
      <c r="K355" s="30"/>
      <c r="L355" s="37" t="str">
        <f>IF('Imperial Data'!$B$2,J355,H355)</f>
        <v/>
      </c>
    </row>
    <row r="356" spans="1:12" x14ac:dyDescent="0.2">
      <c r="C356" s="35"/>
      <c r="D356" s="30" t="str">
        <f>IF(C356="","",'Imperial Calcs'!C352)</f>
        <v/>
      </c>
      <c r="E356" s="30" t="str">
        <f>IF(OR(C355=1,C355=""),"",IF('Imperial Data'!$B$2,'Imperial Calcs'!D352,'Imperial Calcs'!E352))</f>
        <v/>
      </c>
      <c r="F356" s="30" t="str">
        <f>IF(OR(C355=1,C355=""),"",IF('Imperial Data'!$B$2,'Imperial Calcs'!E352,'Imperial Calcs'!G352))</f>
        <v/>
      </c>
      <c r="G356" s="30" t="str">
        <f>IF(OR(C355=1,C355=""),"",IF('Imperial Data'!$B$2,'Imperial Calcs'!F352,'Imperial Calcs'!J352))</f>
        <v/>
      </c>
      <c r="H356" s="30" t="str">
        <f>IF(OR(C355=1,C355=""),"",IF('Imperial Data'!$B$2,'Imperial Calcs'!G352,'Imperial Calcs'!M352))</f>
        <v/>
      </c>
      <c r="I356" s="30" t="str">
        <f>IF(C356="","",IF('Imperial Data'!$B$2,'Imperial Calcs'!J352,'Imperial Calcs'!Y352))</f>
        <v/>
      </c>
      <c r="J356" s="30" t="str">
        <f>IF('Imperial Data'!$B$2,'Imperial Calcs'!M352,"")</f>
        <v/>
      </c>
      <c r="K356" s="30"/>
      <c r="L356" s="37" t="str">
        <f>IF('Imperial Data'!$B$2,J356,H356)</f>
        <v/>
      </c>
    </row>
    <row r="357" spans="1:12" x14ac:dyDescent="0.2">
      <c r="C357" s="35"/>
      <c r="D357" s="30" t="str">
        <f>IF(C357="","",'Imperial Calcs'!C353)</f>
        <v/>
      </c>
      <c r="E357" s="30" t="str">
        <f>IF(OR(C356=1,C356=""),"",IF('Imperial Data'!$B$2,'Imperial Calcs'!D353,'Imperial Calcs'!E353))</f>
        <v/>
      </c>
      <c r="F357" s="30" t="str">
        <f>IF(OR(C356=1,C356=""),"",IF('Imperial Data'!$B$2,'Imperial Calcs'!E353,'Imperial Calcs'!G353))</f>
        <v/>
      </c>
      <c r="G357" s="30" t="str">
        <f>IF(OR(C356=1,C356=""),"",IF('Imperial Data'!$B$2,'Imperial Calcs'!F353,'Imperial Calcs'!J353))</f>
        <v/>
      </c>
      <c r="H357" s="30" t="str">
        <f>IF(OR(C356=1,C356=""),"",IF('Imperial Data'!$B$2,'Imperial Calcs'!G353,'Imperial Calcs'!M353))</f>
        <v/>
      </c>
      <c r="I357" s="30" t="str">
        <f>IF(C357="","",IF('Imperial Data'!$B$2,'Imperial Calcs'!J353,'Imperial Calcs'!Y353))</f>
        <v/>
      </c>
      <c r="J357" s="30" t="str">
        <f>IF('Imperial Data'!$B$2,'Imperial Calcs'!M353,"")</f>
        <v/>
      </c>
      <c r="K357" s="30"/>
      <c r="L357" s="37" t="str">
        <f>IF('Imperial Data'!$B$2,J357,H357)</f>
        <v/>
      </c>
    </row>
    <row r="358" spans="1:12" x14ac:dyDescent="0.2">
      <c r="C358" s="35"/>
      <c r="D358" s="30" t="str">
        <f>IF(C358="","",'Imperial Calcs'!C354)</f>
        <v/>
      </c>
      <c r="F358" s="30" t="str">
        <f>IF(OR(C357=1,C357=""),"",IF('Imperial Data'!$B$2,'Imperial Calcs'!E354,'Imperial Calcs'!G354))</f>
        <v/>
      </c>
      <c r="G358" s="30" t="str">
        <f>IF(OR(C357=1,C357=""),"",IF('Imperial Data'!$B$2,'Imperial Calcs'!F354,'Imperial Calcs'!J354))</f>
        <v/>
      </c>
      <c r="H358" s="30" t="str">
        <f>IF(OR(C357=1,C357=""),"",IF('Imperial Data'!$B$2,'Imperial Calcs'!G354,'Imperial Calcs'!M354))</f>
        <v/>
      </c>
      <c r="I358" s="30" t="str">
        <f>IF(C358="","",IF('Imperial Data'!$B$2,'Imperial Calcs'!J354,'Imperial Calcs'!Y354))</f>
        <v/>
      </c>
      <c r="J358" s="30" t="str">
        <f>IF('Imperial Data'!$B$2,'Imperial Calcs'!M354,"")</f>
        <v/>
      </c>
      <c r="K358" s="30"/>
    </row>
    <row r="359" spans="1:12" x14ac:dyDescent="0.2">
      <c r="D359" s="30" t="str">
        <f>IF(C359="","",'Imperial Calcs'!C355)</f>
        <v/>
      </c>
      <c r="F359" s="30" t="str">
        <f>IF(OR(C358=1,C358=""),"",IF('Imperial Data'!$B$2,'Imperial Calcs'!E355,'Imperial Calcs'!G355))</f>
        <v/>
      </c>
      <c r="G359" s="30" t="str">
        <f>IF(OR(C358=1,C358=""),"",IF('Imperial Data'!$B$2,'Imperial Calcs'!F355,'Imperial Calcs'!J355))</f>
        <v/>
      </c>
      <c r="H359" s="30" t="str">
        <f>IF(OR(C358=1,C358=""),"",IF('Imperial Data'!$B$2,'Imperial Calcs'!G355,'Imperial Calcs'!M355))</f>
        <v/>
      </c>
      <c r="I359" s="30" t="str">
        <f>IF(C359="","",IF('Imperial Data'!$B$2,'Imperial Calcs'!J355,'Imperial Calcs'!Y355))</f>
        <v/>
      </c>
      <c r="J359" s="30" t="str">
        <f>IF('Imperial Data'!$B$2,'Imperial Calcs'!M355,"")</f>
        <v/>
      </c>
      <c r="K359" s="30"/>
    </row>
    <row r="360" spans="1:12" x14ac:dyDescent="0.2">
      <c r="D360" s="30" t="str">
        <f>IF(C360="","",'Imperial Calcs'!C356)</f>
        <v/>
      </c>
      <c r="F360" s="30" t="str">
        <f>IF(OR(C359=1,C359=""),"",IF('Imperial Data'!$B$2,'Imperial Calcs'!E356,'Imperial Calcs'!G356))</f>
        <v/>
      </c>
      <c r="G360" s="30" t="str">
        <f>IF(OR(C359=1,C359=""),"",IF('Imperial Data'!$B$2,'Imperial Calcs'!F356,'Imperial Calcs'!J356))</f>
        <v/>
      </c>
      <c r="H360" s="30" t="str">
        <f>IF(OR(C359=1,C359=""),"",IF('Imperial Data'!$B$2,'Imperial Calcs'!G356,'Imperial Calcs'!M356))</f>
        <v/>
      </c>
      <c r="I360" s="30" t="str">
        <f>IF(C360="","",IF('Imperial Data'!$B$2,'Imperial Calcs'!J356,'Imperial Calcs'!Y356))</f>
        <v/>
      </c>
      <c r="J360" s="30" t="str">
        <f>IF('Imperial Data'!$B$2,'Imperial Calcs'!M356,"")</f>
        <v/>
      </c>
      <c r="K360" s="30"/>
    </row>
    <row r="361" spans="1:12" x14ac:dyDescent="0.2">
      <c r="D361" s="30" t="str">
        <f>IF(C361="","",'Imperial Calcs'!C357)</f>
        <v/>
      </c>
      <c r="F361" s="30" t="str">
        <f>IF(OR(C360=1,C360=""),"",IF('Imperial Data'!$B$2,'Imperial Calcs'!E357,'Imperial Calcs'!G357))</f>
        <v/>
      </c>
      <c r="G361" s="30" t="str">
        <f>IF(OR(C360=1,C360=""),"",IF('Imperial Data'!$B$2,'Imperial Calcs'!F357,'Imperial Calcs'!J357))</f>
        <v/>
      </c>
      <c r="H361" s="30" t="str">
        <f>IF(OR(C360=1,C360=""),"",IF('Imperial Data'!$B$2,'Imperial Calcs'!G357,'Imperial Calcs'!M357))</f>
        <v/>
      </c>
      <c r="I361" s="30" t="str">
        <f>IF(C361="","",IF('Imperial Data'!$B$2,'Imperial Calcs'!J357,'Imperial Calcs'!Y357))</f>
        <v/>
      </c>
      <c r="J361" s="30" t="str">
        <f>IF('Imperial Data'!$B$2,'Imperial Calcs'!M357,"")</f>
        <v/>
      </c>
      <c r="K361" s="30"/>
    </row>
    <row r="362" spans="1:12" x14ac:dyDescent="0.2">
      <c r="D362" s="30" t="str">
        <f>IF(C362="","",'Imperial Calcs'!C358)</f>
        <v/>
      </c>
      <c r="F362" s="30" t="str">
        <f>IF(OR(C361=1,C361=""),"",IF('Imperial Data'!$B$2,'Imperial Calcs'!E358,'Imperial Calcs'!G358))</f>
        <v/>
      </c>
      <c r="G362" s="30" t="str">
        <f>IF(OR(C361=1,C361=""),"",IF('Imperial Data'!$B$2,'Imperial Calcs'!F358,'Imperial Calcs'!J358))</f>
        <v/>
      </c>
      <c r="H362" s="30" t="str">
        <f>IF(OR(C361=1,C361=""),"",IF('Imperial Data'!$B$2,'Imperial Calcs'!G358,'Imperial Calcs'!M358))</f>
        <v/>
      </c>
      <c r="I362" s="30" t="str">
        <f>IF(C362="","",IF('Imperial Data'!$B$2,'Imperial Calcs'!J358,'Imperial Calcs'!Y358))</f>
        <v/>
      </c>
      <c r="J362" s="30" t="str">
        <f>IF('Imperial Data'!$B$2,'Imperial Calcs'!M358,"")</f>
        <v/>
      </c>
      <c r="K362" s="30"/>
    </row>
    <row r="363" spans="1:12" x14ac:dyDescent="0.2">
      <c r="D363" s="30" t="str">
        <f>IF(C363="","",'Imperial Calcs'!C359)</f>
        <v/>
      </c>
      <c r="F363" s="30" t="str">
        <f>IF(OR(C362=1,C362=""),"",IF('Imperial Data'!$B$2,'Imperial Calcs'!E359,'Imperial Calcs'!G359))</f>
        <v/>
      </c>
      <c r="G363" s="30" t="str">
        <f>IF(OR(C362=1,C362=""),"",IF('Imperial Data'!$B$2,'Imperial Calcs'!F359,'Imperial Calcs'!J359))</f>
        <v/>
      </c>
      <c r="H363" s="30" t="str">
        <f>IF(OR(C362=1,C362=""),"",IF('Imperial Data'!$B$2,'Imperial Calcs'!G359,'Imperial Calcs'!M359))</f>
        <v/>
      </c>
      <c r="I363" s="30" t="str">
        <f>IF(C363="","",IF('Imperial Data'!$B$2,'Imperial Calcs'!J359,'Imperial Calcs'!Y359))</f>
        <v/>
      </c>
      <c r="J363" s="30" t="str">
        <f>IF('Imperial Data'!$B$2,'Imperial Calcs'!M359,"")</f>
        <v/>
      </c>
      <c r="K363" s="30"/>
    </row>
    <row r="364" spans="1:12" x14ac:dyDescent="0.2">
      <c r="D364" s="30" t="str">
        <f>IF(C364="","",'Imperial Calcs'!C360)</f>
        <v/>
      </c>
      <c r="F364" s="30" t="str">
        <f>IF(OR(C363=1,C363=""),"",IF('Imperial Data'!$B$2,'Imperial Calcs'!E360,'Imperial Calcs'!G360))</f>
        <v/>
      </c>
      <c r="G364" s="30" t="str">
        <f>IF(OR(C363=1,C363=""),"",IF('Imperial Data'!$B$2,'Imperial Calcs'!F360,'Imperial Calcs'!J360))</f>
        <v/>
      </c>
      <c r="H364" s="30" t="str">
        <f>IF(OR(C363=1,C363=""),"",IF('Imperial Data'!$B$2,'Imperial Calcs'!G360,'Imperial Calcs'!M360))</f>
        <v/>
      </c>
      <c r="I364" s="30" t="str">
        <f>IF(C364="","",IF('Imperial Data'!$B$2,'Imperial Calcs'!J360,'Imperial Calcs'!Y360))</f>
        <v/>
      </c>
    </row>
    <row r="365" spans="1:12" x14ac:dyDescent="0.2">
      <c r="D365" s="30" t="str">
        <f>IF(C365="","",'Imperial Calcs'!C361)</f>
        <v/>
      </c>
      <c r="F365" s="30" t="str">
        <f>IF(OR(C364=1,C364=""),"",IF('Imperial Data'!$B$2,'Imperial Calcs'!E361,'Imperial Calcs'!G361))</f>
        <v/>
      </c>
      <c r="G365" s="30" t="str">
        <f>IF(OR(C364=1,C364=""),"",IF('Imperial Data'!$B$2,'Imperial Calcs'!F361,'Imperial Calcs'!J361))</f>
        <v/>
      </c>
      <c r="H365" s="30" t="str">
        <f>IF(OR(C364=1,C364=""),"",IF('Imperial Data'!$B$2,'Imperial Calcs'!G361,'Imperial Calcs'!M361))</f>
        <v/>
      </c>
      <c r="I365" s="30" t="str">
        <f>IF(C365="","",IF('Imperial Data'!$B$2,'Imperial Calcs'!J361,'Imperial Calcs'!Y361))</f>
        <v/>
      </c>
    </row>
  </sheetData>
  <sheetProtection algorithmName="SHA-512" hashValue="H0PgMKVSoEQwxZynIfs1EBCnwZVbr5ot9mmk8Zpw2F2a5fXEDGPvqrYP7AgiiNhd2X+94ozlZT0fXdERqm1YKQ==" saltValue="z7unuVMOfWqngo0NRuzr6w==" spinCount="100000" sheet="1" formatCells="0"/>
  <dataConsolidate/>
  <mergeCells count="9">
    <mergeCell ref="AW8:AY10"/>
    <mergeCell ref="D2:F2"/>
    <mergeCell ref="G14:K14"/>
    <mergeCell ref="H13:I13"/>
    <mergeCell ref="AB15:AF23"/>
    <mergeCell ref="W15:Z15"/>
    <mergeCell ref="C14:F14"/>
    <mergeCell ref="C15:I15"/>
    <mergeCell ref="H7:K9"/>
  </mergeCells>
  <phoneticPr fontId="3" type="noConversion"/>
  <conditionalFormatting sqref="C9">
    <cfRule type="containsText" dxfId="99" priority="130" stopIfTrue="1" operator="containsText" text="Base of Storage Elevation">
      <formula>NOT(ISERROR(SEARCH("Base of Storage Elevation",C9)))</formula>
    </cfRule>
  </conditionalFormatting>
  <conditionalFormatting sqref="C14:J14">
    <cfRule type="cellIs" dxfId="97" priority="133" stopIfTrue="1" operator="equal">
      <formula>"StormTech requires a minimum of 6 inches of stone below the chambers.  This table is for modeling purposes only.  Please see the engineering drawings for the actual amount of stone under the chambers."</formula>
    </cfRule>
    <cfRule type="cellIs" dxfId="96" priority="132" stopIfTrue="1" operator="equal">
      <formula>"StormTech requires a minimum of 9 inches of stone below the chambers.  This table is for modeling purposes only.  Please see the engineerings drawings for the actual amount of stone under the chambers."</formula>
    </cfRule>
  </conditionalFormatting>
  <conditionalFormatting sqref="F10">
    <cfRule type="expression" dxfId="94" priority="165" stopIfTrue="1">
      <formula>AND(OR($AN$17="MC-3500",AN17="mc-4500",AN17="MC-7200"),F10&lt;12)</formula>
    </cfRule>
    <cfRule type="expression" dxfId="93" priority="167" stopIfTrue="1">
      <formula>AND(OR(AN17="SC-740",AN17="DC-780",AN17="SC-160"),F10&lt;6)</formula>
    </cfRule>
    <cfRule type="expression" dxfId="92" priority="166" stopIfTrue="1">
      <formula>AND(AN17="SC-310",F10&lt;6)</formula>
    </cfRule>
    <cfRule type="expression" dxfId="91" priority="37" stopIfTrue="1">
      <formula>AND(AN17="SC-800",F10&lt;6)</formula>
    </cfRule>
  </conditionalFormatting>
  <conditionalFormatting sqref="F11">
    <cfRule type="expression" dxfId="90" priority="173" stopIfTrue="1">
      <formula>AND(AN17="SC-740",F11&lt;6)</formula>
    </cfRule>
    <cfRule type="expression" dxfId="89" priority="172" stopIfTrue="1">
      <formula>AND(AN17="SC-310",F11&lt;6)</formula>
    </cfRule>
    <cfRule type="expression" dxfId="88" priority="171" stopIfTrue="1">
      <formula>AND(AN17="MC-3500",F11&lt;9)</formula>
    </cfRule>
    <cfRule type="expression" dxfId="87" priority="27" stopIfTrue="1">
      <formula>AND(AN17="DC-780",F11&lt;9)</formula>
    </cfRule>
    <cfRule type="expression" dxfId="86" priority="170" stopIfTrue="1">
      <formula>AND(AN17="SC-160LP",F11&lt;4)</formula>
    </cfRule>
    <cfRule type="expression" dxfId="85" priority="169" stopIfTrue="1">
      <formula>AND(AN17="SC-800",F11&lt;6)</formula>
    </cfRule>
    <cfRule type="expression" dxfId="84" priority="168" stopIfTrue="1">
      <formula>AND(AN17="MC-4500",F11&lt;9)</formula>
    </cfRule>
  </conditionalFormatting>
  <conditionalFormatting sqref="F12">
    <cfRule type="expression" dxfId="83" priority="57" stopIfTrue="1">
      <formula>$F$13&lt;$H$13</formula>
    </cfRule>
  </conditionalFormatting>
  <conditionalFormatting sqref="F13">
    <cfRule type="expression" dxfId="82" priority="65" stopIfTrue="1">
      <formula>$AQ$17=TRUE</formula>
    </cfRule>
  </conditionalFormatting>
  <conditionalFormatting sqref="G13:I13">
    <cfRule type="expression" dxfId="81" priority="136" stopIfTrue="1">
      <formula>$F$13&lt;($H$13-0.5)</formula>
    </cfRule>
  </conditionalFormatting>
  <conditionalFormatting sqref="H11:H12">
    <cfRule type="expression" dxfId="80" priority="145" stopIfTrue="1">
      <formula>$F$13&lt;$H$13</formula>
    </cfRule>
  </conditionalFormatting>
  <conditionalFormatting sqref="I18:I227">
    <cfRule type="cellIs" dxfId="78" priority="2" operator="between">
      <formula>$AI$44+$AQ$24</formula>
      <formula>$AI$44-$AQ$24</formula>
    </cfRule>
    <cfRule type="cellIs" dxfId="77" priority="3" operator="between">
      <formula>$AI$18+$AQ$24</formula>
      <formula>$AI$18-$AQ$24</formula>
    </cfRule>
    <cfRule type="cellIs" dxfId="76" priority="267" operator="between">
      <formula>$AI$34+$AQ$24</formula>
      <formula>$AI$34-$AQ$24</formula>
    </cfRule>
    <cfRule type="cellIs" dxfId="75" priority="265" operator="between">
      <formula>$AI$24+$AQ$24</formula>
      <formula>$AI$24-$AQ$24</formula>
    </cfRule>
  </conditionalFormatting>
  <conditionalFormatting sqref="K18:K227">
    <cfRule type="cellIs" dxfId="69" priority="1" operator="between">
      <formula>$AI$44+$AQ$24</formula>
      <formula>$AI$44-$AQ$24</formula>
    </cfRule>
    <cfRule type="cellIs" dxfId="68" priority="268" operator="between">
      <formula>$AI$34+$AQ$24</formula>
      <formula>$AI$34-$AQ$24</formula>
    </cfRule>
    <cfRule type="cellIs" dxfId="67" priority="269" operator="between">
      <formula>$AI$24+$AQ$24</formula>
      <formula>$AI$24-$AQ$24</formula>
    </cfRule>
    <cfRule type="cellIs" dxfId="66" priority="270" operator="between">
      <formula>$AI$18+$AQ$24</formula>
      <formula>$AI$18-$AQ$24</formula>
    </cfRule>
  </conditionalFormatting>
  <conditionalFormatting sqref="W16">
    <cfRule type="expression" dxfId="65" priority="79" stopIfTrue="1">
      <formula>$AO$17=TRUE</formula>
    </cfRule>
  </conditionalFormatting>
  <conditionalFormatting sqref="W17:Y17">
    <cfRule type="expression" dxfId="64" priority="47" stopIfTrue="1">
      <formula>$AO$17=TRUE</formula>
    </cfRule>
  </conditionalFormatting>
  <conditionalFormatting sqref="W15:Z15">
    <cfRule type="expression" dxfId="63" priority="74" stopIfTrue="1">
      <formula>$AO$17=TRUE</formula>
    </cfRule>
  </conditionalFormatting>
  <conditionalFormatting sqref="X16:Z16">
    <cfRule type="expression" dxfId="62" priority="76" stopIfTrue="1">
      <formula>$AO$17=TRUE</formula>
    </cfRule>
  </conditionalFormatting>
  <conditionalFormatting sqref="Z17">
    <cfRule type="expression" dxfId="61" priority="75" stopIfTrue="1">
      <formula>$AO$17=TRUE</formula>
    </cfRule>
  </conditionalFormatting>
  <conditionalFormatting sqref="AB24">
    <cfRule type="expression" dxfId="60" priority="185">
      <formula>$AG$19</formula>
    </cfRule>
  </conditionalFormatting>
  <conditionalFormatting sqref="AB25">
    <cfRule type="expression" dxfId="59" priority="25">
      <formula>$AG$20</formula>
    </cfRule>
  </conditionalFormatting>
  <conditionalFormatting sqref="AB26">
    <cfRule type="expression" dxfId="58" priority="24">
      <formula>$AG$22</formula>
    </cfRule>
  </conditionalFormatting>
  <conditionalFormatting sqref="AB27">
    <cfRule type="expression" dxfId="57" priority="186">
      <formula>$AG$25</formula>
    </cfRule>
  </conditionalFormatting>
  <conditionalFormatting sqref="AB28">
    <cfRule type="expression" dxfId="56" priority="22">
      <formula>$AG$26</formula>
    </cfRule>
  </conditionalFormatting>
  <conditionalFormatting sqref="AB29">
    <cfRule type="expression" dxfId="55" priority="271">
      <formula>$AG$34</formula>
    </cfRule>
  </conditionalFormatting>
  <conditionalFormatting sqref="AB30">
    <cfRule type="expression" dxfId="54" priority="286">
      <formula>$AG$44</formula>
    </cfRule>
  </conditionalFormatting>
  <conditionalFormatting sqref="AG17:AH17 AJ17 AG18:AJ27 AQ24">
    <cfRule type="expression" dxfId="53" priority="207">
      <formula>$W$11&lt;&gt;TRUE</formula>
    </cfRule>
  </conditionalFormatting>
  <conditionalFormatting sqref="AG36:AH36 AG37:AI45">
    <cfRule type="expression" dxfId="52" priority="5">
      <formula>$AI$35&lt;&gt;TRUE</formula>
    </cfRule>
  </conditionalFormatting>
  <conditionalFormatting sqref="AG29:AI49">
    <cfRule type="expression" dxfId="51" priority="4">
      <formula>$W$12&lt;&gt;TRUE</formula>
    </cfRule>
  </conditionalFormatting>
  <conditionalFormatting sqref="AH32:AI34">
    <cfRule type="expression" dxfId="50" priority="208">
      <formula>$AI$35</formula>
    </cfRule>
  </conditionalFormatting>
  <conditionalFormatting sqref="AI36">
    <cfRule type="expression" dxfId="49" priority="11">
      <formula>$AI$35&lt;&gt;TRUE</formula>
    </cfRule>
  </conditionalFormatting>
  <conditionalFormatting sqref="AJ36">
    <cfRule type="expression" dxfId="48" priority="6">
      <formula>$AI$35&lt;&gt;TRUE</formula>
    </cfRule>
  </conditionalFormatting>
  <dataValidations count="7">
    <dataValidation errorStyle="warning" allowBlank="1" showErrorMessage="1" errorTitle="Foundation Stone Warning:" error="StormTech chambers require a minimum of 6&quot; of foundation stone (entered as whole number).  You may enter a value lower than this for modeling reasons however the installation specifications must indicate a minimum of 6&quot;." promptTitle="Foundation Stone Note:" prompt="StormTech Chambers require a minimum of 6&quot; of foundation stone.  Please see the StormTech Design Manual for specific details." sqref="F11" xr:uid="{00000000-0002-0000-0000-000001000000}"/>
    <dataValidation type="whole" errorStyle="warning" allowBlank="1" showInputMessage="1" showErrorMessage="1" errorTitle="StormTech Specification Error:" error="StormTech's cover stone specifications are:_x000a__x000a_SC-160     6&quot;-120&quot;_x000a_SC-310     6&quot;-96&quot;_x000a_SC-740     6&quot;-96&quot;_x000a_DC-780     6&quot;-144&quot;_x000a_SC-800      6&quot;-96&quot;_x000a_MC-3500  12&quot;-96&quot;_x000a_MC-4500  12&quot;-84&quot;_x000a_MC-7200  12&quot;-84&quot;" sqref="F10" xr:uid="{00000000-0002-0000-0000-000002000000}">
      <formula1>6</formula1>
      <formula2>84</formula2>
    </dataValidation>
    <dataValidation errorStyle="warning" operator="greaterThanOrEqual" allowBlank="1" showErrorMessage="1" errorTitle="Minimum Area Not Large Enough:" error="StormTech SC-310 chambers require a minimum spacing between chambers rows of 3&quot;.  The area entered is lower then the minimum area required for the number of chamber specified using this 3&quot; spacing." promptTitle="Foundation Stone Note:" prompt="StormTech Chambers require a minimum of 6&quot; of foundation stone.  Please see the StormTech Design Manual for specific details." sqref="F13" xr:uid="{00000000-0002-0000-0000-000003000000}"/>
    <dataValidation type="list" allowBlank="1" showInputMessage="1" showErrorMessage="1" sqref="F4" xr:uid="{00000000-0002-0000-0000-000005000000}">
      <formula1>Chambers2</formula1>
    </dataValidation>
    <dataValidation type="whole" operator="lessThan" allowBlank="1" showInputMessage="1" showErrorMessage="1" errorTitle="Tool Limit Reached" error="180&quot; is the maximum system height able to be accurately portrayed by this tool.  Please contact an ADS representative for systems greater than 15' in height." sqref="C18:C354" xr:uid="{D7439753-5672-4591-93AB-3B924C59CF37}">
      <formula1>181</formula1>
    </dataValidation>
    <dataValidation type="whole" allowBlank="1" showInputMessage="1" showErrorMessage="1" sqref="F8" xr:uid="{00000000-0002-0000-0000-000000000000}">
      <formula1>0</formula1>
      <formula2>100</formula2>
    </dataValidation>
    <dataValidation errorStyle="warning" allowBlank="1" showInputMessage="1" showErrorMessage="1" error="Number of end caps should be divisible by two." sqref="F7" xr:uid="{42A8BB5E-17D8-4AEC-8D74-573A8BD72D38}"/>
  </dataValidations>
  <pageMargins left="0.4" right="0.4" top="0.5" bottom="0.5" header="0.5" footer="0.5"/>
  <pageSetup scale="4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7" r:id="rId4" name="Check Box 3">
              <controlPr locked="0" defaultSize="0" autoFill="0" autoLine="0" autoPict="0" altText="Include Perimeter Stone in Calculations">
                <anchor moveWithCells="1">
                  <from>
                    <xdr:col>22</xdr:col>
                    <xdr:colOff>38100</xdr:colOff>
                    <xdr:row>0</xdr:row>
                    <xdr:rowOff>104775</xdr:rowOff>
                  </from>
                  <to>
                    <xdr:col>24</xdr:col>
                    <xdr:colOff>923925</xdr:colOff>
                    <xdr:row>1</xdr:row>
                    <xdr:rowOff>190500</xdr:rowOff>
                  </to>
                </anchor>
              </controlPr>
            </control>
          </mc:Choice>
        </mc:AlternateContent>
        <mc:AlternateContent xmlns:mc="http://schemas.openxmlformats.org/markup-compatibility/2006">
          <mc:Choice Requires="x14">
            <control shapeId="12050" r:id="rId5" name="Check Box 786">
              <controlPr locked="0" defaultSize="0" autoFill="0" autoLine="0" autoPict="0" altText="Click for Stage Area Data">
                <anchor moveWithCells="1">
                  <from>
                    <xdr:col>22</xdr:col>
                    <xdr:colOff>38100</xdr:colOff>
                    <xdr:row>2</xdr:row>
                    <xdr:rowOff>76200</xdr:rowOff>
                  </from>
                  <to>
                    <xdr:col>24</xdr:col>
                    <xdr:colOff>304800</xdr:colOff>
                    <xdr:row>3</xdr:row>
                    <xdr:rowOff>76200</xdr:rowOff>
                  </to>
                </anchor>
              </controlPr>
            </control>
          </mc:Choice>
        </mc:AlternateContent>
        <mc:AlternateContent xmlns:mc="http://schemas.openxmlformats.org/markup-compatibility/2006">
          <mc:Choice Requires="x14">
            <control shapeId="12052" r:id="rId6" name="Check Box 788">
              <controlPr locked="0" defaultSize="0" autoFill="0" autoLine="0" autoPict="0" altText="Click for Stage Area Data">
                <anchor moveWithCells="1">
                  <from>
                    <xdr:col>22</xdr:col>
                    <xdr:colOff>38100</xdr:colOff>
                    <xdr:row>4</xdr:row>
                    <xdr:rowOff>9525</xdr:rowOff>
                  </from>
                  <to>
                    <xdr:col>24</xdr:col>
                    <xdr:colOff>390525</xdr:colOff>
                    <xdr:row>5</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135" stopIfTrue="1" operator="containsText" id="{A9891A40-4A48-4973-93FF-D45EF8AC9917}">
            <xm:f>NOT(ISERROR(SEARCH("Area must be at least value listed to right -",C13)))</xm:f>
            <xm:f>"Area must be at least value listed to right -"</xm:f>
            <x14:dxf>
              <font>
                <b val="0"/>
                <i/>
                <condense val="0"/>
                <extend val="0"/>
                <color indexed="10"/>
              </font>
            </x14:dxf>
          </x14:cfRule>
          <xm:sqref>C13</xm:sqref>
        </x14:conditionalFormatting>
        <x14:conditionalFormatting xmlns:xm="http://schemas.microsoft.com/office/excel/2006/main">
          <x14:cfRule type="expression" priority="28" stopIfTrue="1" id="{4021B916-EB44-4111-AFFC-CE92600FB30F}">
            <xm:f>'Imperial Data'!$B$2</xm:f>
            <x14:dxf>
              <fill>
                <patternFill>
                  <bgColor theme="6" tint="0.39994506668294322"/>
                </patternFill>
              </fill>
              <border>
                <left style="thin">
                  <color auto="1"/>
                </left>
                <right style="thin">
                  <color auto="1"/>
                </right>
              </border>
            </x14:dxf>
          </x14:cfRule>
          <xm:sqref>F6</xm:sqref>
        </x14:conditionalFormatting>
        <x14:conditionalFormatting xmlns:xm="http://schemas.microsoft.com/office/excel/2006/main">
          <x14:cfRule type="expression" priority="30" id="{38D5EFB5-CCF2-4DA1-B6FD-931877AB790C}">
            <xm:f>IF('Imperial Data'!$B$2,FALSE,TRUE)</xm:f>
            <x14:dxf>
              <fill>
                <patternFill>
                  <bgColor rgb="FFFFCC00"/>
                </patternFill>
              </fill>
              <border>
                <left style="thin">
                  <color rgb="FF92D050"/>
                </left>
                <right style="thin">
                  <color rgb="FF92D050"/>
                </right>
                <top style="thin">
                  <color rgb="FF92D050"/>
                </top>
                <bottom style="thin">
                  <color rgb="FF92D050"/>
                </bottom>
              </border>
            </x14:dxf>
          </x14:cfRule>
          <xm:sqref>H18</xm:sqref>
        </x14:conditionalFormatting>
        <x14:conditionalFormatting xmlns:xm="http://schemas.microsoft.com/office/excel/2006/main">
          <x14:cfRule type="expression" priority="35" stopIfTrue="1" id="{E6BCE3C3-9E5A-4BDB-B3F2-9BB63A4FB09A}">
            <xm:f>'Imperial Data'!$B$2</xm:f>
            <x14:dxf>
              <fill>
                <patternFill patternType="lightUp">
                  <fgColor rgb="FF97D700"/>
                </patternFill>
              </fill>
              <border>
                <left/>
                <right/>
                <top style="thin">
                  <color auto="1"/>
                </top>
                <vertical/>
                <horizontal/>
              </border>
            </x14:dxf>
          </x14:cfRule>
          <xm:sqref>J15</xm:sqref>
        </x14:conditionalFormatting>
        <x14:conditionalFormatting xmlns:xm="http://schemas.microsoft.com/office/excel/2006/main">
          <x14:cfRule type="expression" priority="31" id="{6660C6B8-D033-433D-849F-D545EA8B256B}">
            <xm:f>'Imperial Data'!$B$2</xm:f>
            <x14:dxf>
              <fill>
                <patternFill>
                  <bgColor rgb="FFFFCC00"/>
                </patternFill>
              </fill>
              <border>
                <left style="thin">
                  <color rgb="FF92D050"/>
                </left>
                <right style="thin">
                  <color rgb="FF92D050"/>
                </right>
                <top style="thin">
                  <color rgb="FF92D050"/>
                </top>
                <bottom style="thin">
                  <color rgb="FF92D050"/>
                </bottom>
              </border>
            </x14:dxf>
          </x14:cfRule>
          <xm:sqref>J18</xm:sqref>
        </x14:conditionalFormatting>
        <x14:conditionalFormatting xmlns:xm="http://schemas.microsoft.com/office/excel/2006/main">
          <x14:cfRule type="expression" priority="33" stopIfTrue="1" id="{1B28768F-0BF1-4BC9-893C-C74BB7664D35}">
            <xm:f>'Imperial Data'!$B$2</xm:f>
            <x14:dxf>
              <fill>
                <patternFill patternType="solid">
                  <fgColor auto="1"/>
                  <bgColor rgb="FF97D700"/>
                </patternFill>
              </fill>
              <border>
                <right style="thin">
                  <color auto="1"/>
                </right>
                <top style="thin">
                  <color auto="1"/>
                </top>
                <vertical/>
                <horizontal/>
              </border>
            </x14:dxf>
          </x14:cfRule>
          <xm:sqref>J16:K16</xm:sqref>
        </x14:conditionalFormatting>
        <x14:conditionalFormatting xmlns:xm="http://schemas.microsoft.com/office/excel/2006/main">
          <x14:cfRule type="expression" priority="32" stopIfTrue="1" id="{45627C63-742A-445A-A22C-7F4272BB30DC}">
            <xm:f>'Imperial Data'!$B$2</xm:f>
            <x14:dxf>
              <fill>
                <patternFill>
                  <fgColor rgb="FF97D700"/>
                  <bgColor rgb="FF97D700"/>
                </patternFill>
              </fill>
              <border>
                <left style="thin">
                  <color auto="1"/>
                </left>
                <right style="thin">
                  <color auto="1"/>
                </right>
                <bottom style="thin">
                  <color auto="1"/>
                </bottom>
                <vertical/>
                <horizontal/>
              </border>
            </x14:dxf>
          </x14:cfRule>
          <xm:sqref>J17:K17</xm:sqref>
        </x14:conditionalFormatting>
        <x14:conditionalFormatting xmlns:xm="http://schemas.microsoft.com/office/excel/2006/main">
          <x14:cfRule type="expression" priority="34" stopIfTrue="1" id="{95E7324D-2057-4ACF-A988-7C600719EEE3}">
            <xm:f>'Imperial Data'!$B$2</xm:f>
            <x14:dxf>
              <fill>
                <patternFill patternType="lightUp">
                  <fgColor rgb="FF97D700"/>
                </patternFill>
              </fill>
              <border>
                <right style="thin">
                  <color auto="1"/>
                </right>
                <top style="thin">
                  <color auto="1"/>
                </top>
                <vertical/>
                <horizontal/>
              </border>
            </x14:dxf>
          </x14:cfRule>
          <xm:sqref>K15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CCFFCC"/>
    <pageSetUpPr fitToPage="1"/>
  </sheetPr>
  <dimension ref="A1:AZ358"/>
  <sheetViews>
    <sheetView showGridLines="0" topLeftCell="C1" zoomScaleNormal="100" workbookViewId="0">
      <selection activeCell="D2" sqref="D2:F2"/>
    </sheetView>
  </sheetViews>
  <sheetFormatPr defaultColWidth="9.140625" defaultRowHeight="12.75" x14ac:dyDescent="0.2"/>
  <cols>
    <col min="1" max="1" width="9.140625" style="32" hidden="1" customWidth="1"/>
    <col min="2" max="2" width="5.85546875" style="32" hidden="1" customWidth="1"/>
    <col min="3" max="3" width="10.7109375" style="32" customWidth="1"/>
    <col min="4" max="4" width="15.7109375" style="32" customWidth="1"/>
    <col min="5" max="5" width="14.7109375" style="32" customWidth="1"/>
    <col min="6" max="6" width="13.7109375" style="32" customWidth="1"/>
    <col min="7" max="7" width="12.7109375" style="32" customWidth="1"/>
    <col min="8" max="8" width="13.7109375" style="32" customWidth="1"/>
    <col min="9" max="9" width="14.7109375" style="32" customWidth="1"/>
    <col min="10" max="10" width="11.7109375" style="32" customWidth="1"/>
    <col min="11" max="11" width="9.7109375" style="32" customWidth="1"/>
    <col min="12" max="12" width="13.42578125" style="32" hidden="1" customWidth="1"/>
    <col min="13" max="21" width="9.140625" style="32" hidden="1" customWidth="1"/>
    <col min="22" max="22" width="3" style="32" customWidth="1"/>
    <col min="23" max="23" width="3.28515625" style="32" customWidth="1"/>
    <col min="24" max="25" width="9.140625" style="32"/>
    <col min="26" max="26" width="10.5703125" style="32" bestFit="1" customWidth="1"/>
    <col min="27" max="28" width="9.5703125" style="32" customWidth="1"/>
    <col min="29" max="33" width="10.7109375" style="32" customWidth="1"/>
    <col min="34" max="34" width="44.7109375" style="32" customWidth="1"/>
    <col min="35" max="35" width="15.7109375" style="32" customWidth="1"/>
    <col min="36" max="36" width="3.7109375" style="32" customWidth="1"/>
    <col min="37" max="38" width="15.7109375" style="32" hidden="1" customWidth="1"/>
    <col min="39" max="39" width="7.85546875" style="32" hidden="1" customWidth="1"/>
    <col min="40" max="52" width="9.140625" style="32" hidden="1" customWidth="1"/>
    <col min="53" max="54" width="9.140625" style="32" customWidth="1"/>
    <col min="55" max="16384" width="9.140625" style="32"/>
  </cols>
  <sheetData>
    <row r="1" spans="1:52" ht="15" x14ac:dyDescent="0.25">
      <c r="A1" s="32">
        <v>1</v>
      </c>
      <c r="K1" s="170" t="str">
        <f>'Version History'!B2</f>
        <v>Version 1.1</v>
      </c>
    </row>
    <row r="2" spans="1:52" ht="16.5" customHeight="1" thickBot="1" x14ac:dyDescent="0.3">
      <c r="A2" s="32">
        <v>2</v>
      </c>
      <c r="B2" s="35"/>
      <c r="C2" s="58" t="s">
        <v>0</v>
      </c>
      <c r="D2" s="253"/>
      <c r="E2" s="253"/>
      <c r="F2" s="253"/>
      <c r="G2" s="35"/>
      <c r="H2" s="35"/>
      <c r="I2" s="35"/>
      <c r="J2" s="35"/>
      <c r="X2" s="101"/>
      <c r="AP2" s="32" t="s">
        <v>1</v>
      </c>
      <c r="AT2" s="32" t="s">
        <v>2</v>
      </c>
    </row>
    <row r="3" spans="1:52" ht="21.75" customHeight="1" x14ac:dyDescent="0.25">
      <c r="A3" s="32">
        <v>3</v>
      </c>
      <c r="B3" s="35"/>
      <c r="C3" s="59"/>
      <c r="D3" s="35"/>
      <c r="E3" s="35"/>
      <c r="F3" s="35"/>
      <c r="G3" s="35"/>
      <c r="H3" s="35"/>
      <c r="I3" s="35"/>
      <c r="J3" s="35"/>
      <c r="AP3" s="32" t="s">
        <v>3</v>
      </c>
      <c r="AQ3" s="32" t="s">
        <v>4</v>
      </c>
      <c r="AR3" s="32" t="s">
        <v>5</v>
      </c>
      <c r="AS3" s="32" t="s">
        <v>6</v>
      </c>
      <c r="AT3" s="32" t="s">
        <v>4</v>
      </c>
      <c r="AU3" s="32" t="s">
        <v>5</v>
      </c>
      <c r="AV3" s="32" t="s">
        <v>7</v>
      </c>
    </row>
    <row r="4" spans="1:52" ht="12.75" customHeight="1" x14ac:dyDescent="0.2">
      <c r="A4" s="32">
        <v>4</v>
      </c>
      <c r="C4" s="68" t="s">
        <v>8</v>
      </c>
      <c r="D4" s="69"/>
      <c r="F4" s="91" t="s">
        <v>21</v>
      </c>
      <c r="G4" s="35"/>
      <c r="H4" s="35"/>
      <c r="I4" s="35"/>
      <c r="J4" s="35"/>
      <c r="AO4" s="101" t="s">
        <v>100</v>
      </c>
      <c r="AP4" s="32">
        <f>F7*((AQ4+AS4)*AR4)</f>
        <v>13.779500000000001</v>
      </c>
      <c r="AQ4" s="32">
        <v>0.63500000000000001</v>
      </c>
      <c r="AR4" s="32">
        <v>2.17</v>
      </c>
      <c r="AS4" s="32">
        <v>0</v>
      </c>
    </row>
    <row r="5" spans="1:52" ht="12.75" customHeight="1" x14ac:dyDescent="0.2">
      <c r="A5" s="32">
        <v>5</v>
      </c>
      <c r="C5" s="68" t="s">
        <v>9</v>
      </c>
      <c r="D5" s="69"/>
      <c r="F5" s="94" t="s">
        <v>40</v>
      </c>
      <c r="G5" s="35"/>
      <c r="H5" s="35"/>
      <c r="I5" s="35"/>
      <c r="J5" s="35"/>
      <c r="AO5" s="32" t="s">
        <v>11</v>
      </c>
      <c r="AP5" s="32">
        <f>F7*((AQ5+AS5)*AR5)</f>
        <v>20.402339999999999</v>
      </c>
      <c r="AQ5" s="32">
        <v>0.86399999999999999</v>
      </c>
      <c r="AR5" s="32">
        <v>2.17</v>
      </c>
      <c r="AS5" s="32">
        <v>7.6200000000000004E-2</v>
      </c>
    </row>
    <row r="6" spans="1:52" ht="12.75" customHeight="1" x14ac:dyDescent="0.2">
      <c r="A6" s="32">
        <v>6</v>
      </c>
      <c r="C6" s="68" t="str">
        <f>IF('Metric Data'!B2,"Number of Chambers -","")</f>
        <v>Number of Chambers -</v>
      </c>
      <c r="D6" s="69"/>
      <c r="F6" s="73">
        <v>100</v>
      </c>
      <c r="G6" s="35"/>
      <c r="H6" s="35"/>
      <c r="I6" s="35"/>
      <c r="J6" s="35"/>
      <c r="AO6" s="32" t="s">
        <v>12</v>
      </c>
      <c r="AP6" s="32">
        <f>$F$6*((AQ6+AS6)*AR6)+$F$7*((AU6+AV6)*(AT6+AS6))</f>
        <v>321.95749999999998</v>
      </c>
      <c r="AQ6" s="32">
        <v>1.2949999999999999</v>
      </c>
      <c r="AR6" s="32">
        <v>2.17</v>
      </c>
      <c r="AS6" s="32">
        <v>0.152</v>
      </c>
      <c r="AT6" s="32">
        <v>1.2949999999999999</v>
      </c>
      <c r="AU6" s="32">
        <v>0.245</v>
      </c>
      <c r="AV6" s="32">
        <v>0.30499999999999999</v>
      </c>
    </row>
    <row r="7" spans="1:52" x14ac:dyDescent="0.2">
      <c r="A7" s="32">
        <v>7</v>
      </c>
      <c r="C7" s="60" t="str">
        <f>IF('Metric Data'!B2,"Number of End Caps -","Number of chambers -")</f>
        <v>Number of End Caps -</v>
      </c>
      <c r="D7" s="61"/>
      <c r="F7" s="91">
        <v>10</v>
      </c>
      <c r="H7" s="259" t="str">
        <f>IF(C18&gt;5334,"SYSTEM HEIGHT EXCEEDS LIMITS OF TOOL. PLEASE CONTACT AN ADS REPRESENTATIVE FOR ASSISTANCE.", "")</f>
        <v/>
      </c>
      <c r="I7" s="259"/>
      <c r="J7" s="259"/>
      <c r="K7" s="259"/>
      <c r="AO7" s="32" t="s">
        <v>13</v>
      </c>
      <c r="AP7" s="32">
        <f>$F$6*((AQ7+AS7)*AR7)+$F$7*((AU7+AV7)*(AT7+AS7))</f>
        <v>321.95749999999998</v>
      </c>
      <c r="AQ7" s="32">
        <v>1.2949999999999999</v>
      </c>
      <c r="AR7" s="32">
        <v>2.17</v>
      </c>
      <c r="AS7" s="32">
        <v>0.152</v>
      </c>
      <c r="AT7" s="32">
        <v>1.2949999999999999</v>
      </c>
      <c r="AU7" s="32">
        <v>0.245</v>
      </c>
      <c r="AV7" s="32">
        <v>0.30499999999999999</v>
      </c>
    </row>
    <row r="8" spans="1:52" x14ac:dyDescent="0.2">
      <c r="A8" s="32">
        <v>8</v>
      </c>
      <c r="C8" s="68" t="s">
        <v>14</v>
      </c>
      <c r="D8" s="61"/>
      <c r="F8" s="92">
        <v>40</v>
      </c>
      <c r="G8" s="32" t="s">
        <v>15</v>
      </c>
      <c r="H8" s="259"/>
      <c r="I8" s="259"/>
      <c r="J8" s="259"/>
      <c r="K8" s="259"/>
      <c r="AO8" s="32" t="s">
        <v>101</v>
      </c>
      <c r="AP8" s="32">
        <f t="shared" ref="AP8" si="0">$F$6*((AQ8+AS8)*AR8)+$F$7*((AU8+AV8)*(AT8+AS8))</f>
        <v>305.40737599999994</v>
      </c>
      <c r="AQ8" s="32">
        <v>1.2949999999999999</v>
      </c>
      <c r="AR8" s="32">
        <v>2.17</v>
      </c>
      <c r="AS8" s="32">
        <v>7.6200000000000004E-2</v>
      </c>
      <c r="AT8" s="32">
        <v>1.2949999999999999</v>
      </c>
      <c r="AU8" s="32">
        <v>0.26800000000000002</v>
      </c>
      <c r="AV8" s="32">
        <v>0.30499999999999999</v>
      </c>
    </row>
    <row r="9" spans="1:52" x14ac:dyDescent="0.2">
      <c r="A9" s="32">
        <v>9</v>
      </c>
      <c r="C9" s="60" t="str">
        <f>IF(NOT(ISNA(MATCH(F4, MetricBaseStoneCheck[Chamber], 0))),
    IF(INDEX(MetricBaseStoneCheck[Check], MATCH(F4, MetricBaseStoneCheck[Chamber], 0)),
       "Base of Storage Elevation -",
       "Base of Stone Elevation -"),
    "Base of Stone Elevation -")</f>
        <v>Base of Stone Elevation -</v>
      </c>
      <c r="F9" s="93">
        <v>100</v>
      </c>
      <c r="G9" s="32" t="s">
        <v>41</v>
      </c>
      <c r="H9" s="259"/>
      <c r="I9" s="259"/>
      <c r="J9" s="259"/>
      <c r="K9" s="259"/>
      <c r="AO9" s="32" t="s">
        <v>16</v>
      </c>
      <c r="AP9" s="32">
        <f>$F$6*((AQ9+AS9)*AR9)+$F$7*((AU9+AV9)*(AT9+AS9))</f>
        <v>475.48048000000006</v>
      </c>
      <c r="AQ9" s="32">
        <v>1.956</v>
      </c>
      <c r="AR9" s="32">
        <v>2.1840000000000002</v>
      </c>
      <c r="AS9" s="85">
        <v>0.152</v>
      </c>
      <c r="AT9" s="32">
        <v>1.956</v>
      </c>
      <c r="AU9" s="32">
        <v>0.56399999999999995</v>
      </c>
      <c r="AV9" s="85">
        <f>AS9</f>
        <v>0.152</v>
      </c>
    </row>
    <row r="10" spans="1:52" x14ac:dyDescent="0.2">
      <c r="A10" s="32">
        <v>10</v>
      </c>
      <c r="C10" s="60" t="s">
        <v>22</v>
      </c>
      <c r="F10" s="92">
        <v>305</v>
      </c>
      <c r="G10" s="32" t="s">
        <v>42</v>
      </c>
      <c r="H10" s="64"/>
      <c r="X10" s="63" t="s">
        <v>140</v>
      </c>
      <c r="AO10" s="32" t="s">
        <v>20</v>
      </c>
      <c r="AP10" s="32">
        <f>$F$6*((AQ10+AS10)*AR10)+$F$7*((AU10+AV10)*(AT10+AS10))</f>
        <v>371.26751999999999</v>
      </c>
      <c r="AQ10" s="32">
        <v>2.54</v>
      </c>
      <c r="AR10" s="32">
        <v>1.2270000000000001</v>
      </c>
      <c r="AS10" s="32">
        <v>0.22900000000000001</v>
      </c>
      <c r="AT10" s="32">
        <v>2.54</v>
      </c>
      <c r="AU10" s="32">
        <v>0.83299999999999996</v>
      </c>
      <c r="AV10" s="32">
        <v>0.30499999999999999</v>
      </c>
      <c r="AX10" s="249" t="s">
        <v>18</v>
      </c>
      <c r="AY10" s="250"/>
      <c r="AZ10" s="250"/>
    </row>
    <row r="11" spans="1:52" x14ac:dyDescent="0.2">
      <c r="A11" s="32">
        <v>11</v>
      </c>
      <c r="C11" s="60" t="s">
        <v>24</v>
      </c>
      <c r="F11" s="92">
        <v>229</v>
      </c>
      <c r="G11" s="32" t="s">
        <v>42</v>
      </c>
      <c r="H11" s="32" t="str">
        <f>IF(AR17=FALSE,"",IF(F13&lt;I13,"AREA MUST BE ENTERED TO INCLUDE PERIMETER STONE",""))</f>
        <v/>
      </c>
      <c r="T11" s="88">
        <f>1/12</f>
        <v>8.3333333333333329E-2</v>
      </c>
      <c r="U11" s="32">
        <f>CONVERT(T11,"ft","m")</f>
        <v>2.5399999999999999E-2</v>
      </c>
      <c r="X11" s="213" t="b">
        <v>0</v>
      </c>
      <c r="Y11" s="101" t="s">
        <v>153</v>
      </c>
      <c r="AN11" s="32" t="s">
        <v>43</v>
      </c>
      <c r="AO11" s="101" t="s">
        <v>21</v>
      </c>
      <c r="AP11" s="32">
        <f>$F$6*((AQ11+AS11)*AR11)+$F$7*((AU11+AV11)*(AT11+AS11))</f>
        <v>588.08021999999994</v>
      </c>
      <c r="AQ11" s="32">
        <v>2.54</v>
      </c>
      <c r="AR11" s="32">
        <v>2.0099999999999998</v>
      </c>
      <c r="AS11" s="32">
        <v>0.22900000000000001</v>
      </c>
      <c r="AT11" s="32">
        <v>2.54</v>
      </c>
      <c r="AU11" s="32">
        <v>0.83299999999999996</v>
      </c>
      <c r="AV11" s="32">
        <v>0.30499999999999999</v>
      </c>
      <c r="AX11" s="250"/>
      <c r="AY11" s="250"/>
      <c r="AZ11" s="250"/>
    </row>
    <row r="12" spans="1:52" x14ac:dyDescent="0.2">
      <c r="A12" s="32">
        <v>12</v>
      </c>
      <c r="C12" s="60"/>
      <c r="F12" s="65"/>
      <c r="Q12" s="101" t="s">
        <v>25</v>
      </c>
      <c r="S12" s="32">
        <f>C18/T12</f>
        <v>2.0573999999999999</v>
      </c>
      <c r="T12" s="32">
        <v>1000</v>
      </c>
      <c r="X12" s="213" t="b">
        <v>0</v>
      </c>
      <c r="Y12" s="101" t="s">
        <v>150</v>
      </c>
      <c r="AX12" s="250"/>
      <c r="AY12" s="250"/>
      <c r="AZ12" s="250"/>
    </row>
    <row r="13" spans="1:52" x14ac:dyDescent="0.2">
      <c r="A13" s="32">
        <v>13</v>
      </c>
      <c r="C13" s="60" t="str">
        <f>IF(AR17=FALSE,"",IF(F13&lt;I13,"Area must be at least value listed to right -","Area of System-"))</f>
        <v>Area of System-</v>
      </c>
      <c r="E13" s="36"/>
      <c r="F13" s="55">
        <v>590</v>
      </c>
      <c r="G13" s="32" t="str">
        <f>IF(AR17=FALSE,"","sq.meters       Min. Area - ")</f>
        <v xml:space="preserve">sq.meters       Min. Area - </v>
      </c>
      <c r="I13" s="257">
        <f>IF(AR17=FALSE,"",AO13)</f>
        <v>588.08000000000004</v>
      </c>
      <c r="J13" s="258"/>
      <c r="K13"/>
      <c r="AO13" s="37">
        <f>ROUND(INDEX(AP4:AP11, MATCH(AO17, AO4:AO11, 0)), 2)</f>
        <v>588.08000000000004</v>
      </c>
      <c r="AX13" s="250"/>
      <c r="AY13" s="250"/>
      <c r="AZ13" s="250"/>
    </row>
    <row r="14" spans="1:52" ht="36" customHeight="1" x14ac:dyDescent="0.2">
      <c r="A14" s="32">
        <v>14</v>
      </c>
      <c r="B14" s="130"/>
      <c r="C14" s="239" t="str">
        <f>IF(INDEX(MetricBaseStoneCheck[Check], MATCH(F4, MetricBaseStoneCheck[Chamber], 0)),
   "StormTech requires a minimum of " &amp;
   INDEX(MetricBaseStoneCheck[Minimum Base stone depth], MATCH(F4, MetricBaseStoneCheck[Chamber], 0)) &amp;
   " mm of stone below the chambers. This table is for modeling purposes only. Please see the engineer's drawings for the actual amount of stone under the chambers.",
   "")</f>
        <v/>
      </c>
      <c r="D14" s="239"/>
      <c r="E14" s="239"/>
      <c r="F14" s="239"/>
      <c r="G14" s="254" t="str">
        <f>IF(INDEX(MetricCoverStoneCheck[Check], MATCH(F4, MetricCoverStoneCheck[Chamber], 0)),
   "StormTech requires a minimum of " &amp;
   INDEX(MetricCoverStoneCheck[Minimum Cover stone depth], MATCH(F4, MetricCoverStoneCheck[Chamber], 0)) &amp;
   " mm of stone above the chambers. This table is for modeling purposes only. Please see the engineer's drawings for the actual amount of stone under the chambers.",
   "")</f>
        <v/>
      </c>
      <c r="H14" s="254"/>
      <c r="I14" s="255"/>
      <c r="J14" s="256"/>
      <c r="AW14" s="32" t="str">
        <f>IF($AV$17,BN8,"")</f>
        <v/>
      </c>
      <c r="AX14" s="250"/>
      <c r="AY14" s="250"/>
      <c r="AZ14" s="250"/>
    </row>
    <row r="15" spans="1:52" ht="18" customHeight="1" x14ac:dyDescent="0.25">
      <c r="A15" s="32">
        <v>15</v>
      </c>
      <c r="C15" s="245" t="str">
        <f>"StormTech "&amp;F4&amp;" Cumulative Storage Volumes"</f>
        <v>StormTech MC-7200 Cumulative Storage Volumes</v>
      </c>
      <c r="D15" s="246"/>
      <c r="E15" s="246"/>
      <c r="F15" s="246"/>
      <c r="G15" s="246"/>
      <c r="H15" s="246"/>
      <c r="I15" s="247"/>
      <c r="J15" s="66"/>
      <c r="X15" s="251" t="str">
        <f>IF(AP17,"Stage Area Data","")</f>
        <v/>
      </c>
      <c r="Y15" s="252"/>
      <c r="Z15" s="252"/>
      <c r="AA15" s="252"/>
      <c r="AB15" s="260" t="str">
        <f>IF($AP$17,AX10,"")</f>
        <v/>
      </c>
      <c r="AC15" s="260"/>
      <c r="AD15" s="260"/>
      <c r="AE15" s="260"/>
      <c r="AF15" s="260"/>
      <c r="AG15" s="162"/>
      <c r="AH15" s="122"/>
      <c r="AI15" s="216"/>
      <c r="AJ15" s="122"/>
      <c r="AK15" s="122"/>
      <c r="AL15" s="122"/>
      <c r="AM15" s="122"/>
    </row>
    <row r="16" spans="1:52" ht="29.25" customHeight="1" thickBot="1" x14ac:dyDescent="0.4">
      <c r="A16" s="32">
        <v>16</v>
      </c>
      <c r="B16" s="57"/>
      <c r="C16" s="89" t="s">
        <v>26</v>
      </c>
      <c r="D16" s="89" t="s">
        <v>27</v>
      </c>
      <c r="E16" s="89" t="str">
        <f>IF('Metric Data'!B2,"Incremental Single End Cap","Incremental Total Chamber")</f>
        <v>Incremental Single End Cap</v>
      </c>
      <c r="F16" s="89" t="str">
        <f>IF('Metric Data'!B2,"Incremental Chambers","Incremental Stone")</f>
        <v>Incremental Chambers</v>
      </c>
      <c r="G16" s="89" t="str">
        <f>IF('Metric Data'!B2,"Incremental End Cap","Incremental Ch &amp; St")</f>
        <v>Incremental End Cap</v>
      </c>
      <c r="H16" s="89" t="str">
        <f>IF('Metric Data'!B2,"Incremental Stone","Cumulative Chamber")</f>
        <v>Incremental Stone</v>
      </c>
      <c r="I16" s="89" t="str">
        <f>IF('Metric Data'!B2,"Incremental Ch, EC and Stone","Elevation")</f>
        <v>Incremental Ch, EC and Stone</v>
      </c>
      <c r="J16" s="50" t="str">
        <f>IF('Metric Data'!B2,"Cumulative System","")</f>
        <v>Cumulative System</v>
      </c>
      <c r="K16" s="32" t="str">
        <f>IF('Metric Data'!B2,"Elevation","")</f>
        <v>Elevation</v>
      </c>
      <c r="L16" s="86" t="s">
        <v>28</v>
      </c>
      <c r="M16" s="86" t="s">
        <v>29</v>
      </c>
      <c r="O16" s="101" t="s">
        <v>29</v>
      </c>
      <c r="P16"/>
      <c r="Q16" s="98" t="s">
        <v>30</v>
      </c>
      <c r="R16" s="98" t="s">
        <v>30</v>
      </c>
      <c r="S16" s="101" t="s">
        <v>3</v>
      </c>
      <c r="U16" s="101" t="s">
        <v>31</v>
      </c>
      <c r="X16" s="50" t="str">
        <f>IF($AP$17,"Depth","")</f>
        <v/>
      </c>
      <c r="Y16" s="50" t="str">
        <f>IF($AP$17,"Elevation","")</f>
        <v/>
      </c>
      <c r="Z16" s="50" t="str">
        <f>IF($AP$17,"Area","")</f>
        <v/>
      </c>
      <c r="AA16" s="50" t="str">
        <f>IF($AP$17,"Area","")</f>
        <v/>
      </c>
      <c r="AB16" s="260"/>
      <c r="AC16" s="260"/>
      <c r="AD16" s="260"/>
      <c r="AE16" s="260"/>
      <c r="AF16" s="260"/>
      <c r="AG16" s="162"/>
      <c r="AH16" s="163"/>
      <c r="AI16" s="215"/>
      <c r="AJ16" s="132"/>
      <c r="AK16" s="137" t="s">
        <v>128</v>
      </c>
      <c r="AL16" s="138"/>
      <c r="AM16" s="122"/>
      <c r="AN16"/>
      <c r="AO16"/>
      <c r="AP16" s="101" t="s">
        <v>32</v>
      </c>
      <c r="AR16" s="26" t="s">
        <v>33</v>
      </c>
    </row>
    <row r="17" spans="1:44" ht="12.75" customHeight="1" thickBot="1" x14ac:dyDescent="0.25">
      <c r="A17" s="32">
        <f>IF(C17&lt;&gt;"",A16+1,"")</f>
        <v>17</v>
      </c>
      <c r="B17" s="57"/>
      <c r="C17" s="90" t="s">
        <v>44</v>
      </c>
      <c r="D17" s="90" t="s">
        <v>45</v>
      </c>
      <c r="E17" s="90" t="s">
        <v>45</v>
      </c>
      <c r="F17" s="90" t="s">
        <v>45</v>
      </c>
      <c r="G17" s="90" t="s">
        <v>45</v>
      </c>
      <c r="H17" s="90" t="s">
        <v>45</v>
      </c>
      <c r="I17" s="90" t="str">
        <f>IF('Metric Data'!B2,"(cubic meters)","(meters)")</f>
        <v>(cubic meters)</v>
      </c>
      <c r="J17" s="70" t="str">
        <f>IF('Metric Data'!B2,"(cubic meters)","")</f>
        <v>(cubic meters)</v>
      </c>
      <c r="K17" s="71" t="str">
        <f>IF('Metric Data'!B2,"(meters)","")</f>
        <v>(meters)</v>
      </c>
      <c r="L17" s="87" t="s">
        <v>45</v>
      </c>
      <c r="M17" s="87" t="s">
        <v>46</v>
      </c>
      <c r="O17" s="101" t="s">
        <v>36</v>
      </c>
      <c r="P17" s="101" t="s">
        <v>47</v>
      </c>
      <c r="Q17" s="101" t="s">
        <v>47</v>
      </c>
      <c r="R17" s="101" t="s">
        <v>47</v>
      </c>
      <c r="S17" s="101" t="s">
        <v>48</v>
      </c>
      <c r="U17" s="32">
        <f>SUM(U18:U227)</f>
        <v>81</v>
      </c>
      <c r="X17" s="50" t="str">
        <f>IF($AP$17,"(meter)","")</f>
        <v/>
      </c>
      <c r="Y17" s="50" t="str">
        <f>IF($AP$17,"(meter)","")</f>
        <v/>
      </c>
      <c r="Z17" s="50" t="str">
        <f>IF($AP$17,"(m²)","")</f>
        <v/>
      </c>
      <c r="AA17" s="50" t="str">
        <f>IF($AP$17,"(hectare)","")</f>
        <v/>
      </c>
      <c r="AB17" s="260"/>
      <c r="AC17" s="260"/>
      <c r="AD17" s="260"/>
      <c r="AE17" s="260"/>
      <c r="AF17" s="260"/>
      <c r="AG17" s="177" t="s">
        <v>154</v>
      </c>
      <c r="AH17" s="129"/>
      <c r="AJ17" s="130"/>
      <c r="AK17" s="137" t="s">
        <v>126</v>
      </c>
      <c r="AL17" s="139" t="s">
        <v>127</v>
      </c>
      <c r="AM17" s="122"/>
      <c r="AO17" s="72" t="str">
        <f>F4</f>
        <v>MC-7200</v>
      </c>
      <c r="AP17" s="95" t="b">
        <v>0</v>
      </c>
      <c r="AR17" s="96" t="b">
        <v>1</v>
      </c>
    </row>
    <row r="18" spans="1:44" x14ac:dyDescent="0.2">
      <c r="A18" s="32">
        <f t="shared" ref="A18:A81" si="1">IF(C18&lt;&gt;"",A17+1,"")</f>
        <v>18</v>
      </c>
      <c r="C18" s="36">
        <f>IF(OR(C17&lt;30,C17=""),"",'Metric Calcs'!C14)</f>
        <v>2057.4</v>
      </c>
      <c r="D18" s="80">
        <f>IF(C18=0,"",'Metric Calcs'!D14)</f>
        <v>0</v>
      </c>
      <c r="E18" s="80">
        <f>IF(OR(E16=1,E16=""),"",IF('Metric Data'!$B$2,'Metric Calcs'!E14,'Metric Calcs'!F14))</f>
        <v>0</v>
      </c>
      <c r="F18" s="30">
        <f>IF(OR(F16=1,F16=""),"",IF('Metric Data'!$B$2,'Metric Calcs'!F14,'Metric Calcs'!H14))</f>
        <v>0</v>
      </c>
      <c r="G18" s="30">
        <f>IF(OR(G16=1,G16=""),"",IF('Metric Data'!$B$2,'Metric Calcs'!G14,'Metric Calcs'!K14))</f>
        <v>0</v>
      </c>
      <c r="H18" s="30">
        <f>IF(OR(H16=1,H16=""),"",IF('Metric Data'!$B$2,'Metric Calcs'!H14,'Metric Calcs'!N14))</f>
        <v>5.9943999999999997</v>
      </c>
      <c r="I18" s="30">
        <f>IF(OR(I16=1,I16=""),"",IF('Metric Data'!$B$2,'Metric Calcs'!K14,'Metric Calcs'!W14))</f>
        <v>5.9943999999999997</v>
      </c>
      <c r="J18" s="30">
        <f>IF('Metric Data'!$B$2,'Metric Calcs'!N14,"")</f>
        <v>791.12150669120808</v>
      </c>
      <c r="K18" s="30">
        <f>IF('Metric Data'!$B$2,'Metric Calcs'!W14,"")</f>
        <v>102.0574</v>
      </c>
      <c r="L18" s="37">
        <f>IF('Metric Data'!$B$2,J18,H18)</f>
        <v>791.12150669120808</v>
      </c>
      <c r="M18" s="112">
        <f>IF('Metric Data'!$B$2,K18,I18)</f>
        <v>102.0574</v>
      </c>
      <c r="O18" s="32">
        <f>IF(M19="",IF(M18="","",$F$9),M18)</f>
        <v>102.0574</v>
      </c>
      <c r="Q18" s="37">
        <f>S12</f>
        <v>2.0573999999999999</v>
      </c>
      <c r="R18" s="32">
        <f>IF(AND(C18="",C17=1),0,IF(C18="","",IF(OR(Q18=0,Q18&gt;0),Q18,"")))</f>
        <v>2.0573999999999999</v>
      </c>
      <c r="S18" s="32">
        <f>IF(R18="","",IF(R18=0,L17/$U$11,IF(ISNUMBER(O19),(L18-L19)/(M18-M19),S17)))</f>
        <v>235.99999999995748</v>
      </c>
      <c r="U18" s="32">
        <f>IF(R18="","",1)</f>
        <v>1</v>
      </c>
      <c r="X18" s="30" t="str">
        <f>IF(AP21="TYP",0,IF(AP21="INVERT",R18,""))</f>
        <v/>
      </c>
      <c r="Y18" s="30" t="str">
        <f>IF(X18="","",$F$9+X18)</f>
        <v/>
      </c>
      <c r="Z18" s="30" t="str">
        <f>IF(AP21="TYP",IF(S17="","",INDEX($S$18:$S$227,$U$17-ROWS($S17:$S$18))),IF(AP21="INVERT",S18,""))</f>
        <v/>
      </c>
      <c r="AA18" s="75" t="str">
        <f>IF(Z18="","",Z18/10000)</f>
        <v/>
      </c>
      <c r="AB18" s="260"/>
      <c r="AC18" s="260"/>
      <c r="AD18" s="260"/>
      <c r="AE18" s="260"/>
      <c r="AF18" s="260"/>
      <c r="AG18" s="206"/>
      <c r="AH18" s="210" t="s">
        <v>141</v>
      </c>
      <c r="AI18" s="207"/>
      <c r="AJ18" s="130"/>
      <c r="AK18" s="140" t="e">
        <f>INDEX($H$18:$H$200, MATCH($AI$18, $I$18:$I$200, 0))</f>
        <v>#N/A</v>
      </c>
      <c r="AL18" s="140" t="e">
        <f>INDEX($J$18:$J$200, MATCH($AI$18, $K$18:$K$200, 0))</f>
        <v>#N/A</v>
      </c>
      <c r="AM18" s="122"/>
      <c r="AP18" s="101" t="s">
        <v>49</v>
      </c>
    </row>
    <row r="19" spans="1:44" x14ac:dyDescent="0.2">
      <c r="A19" s="32">
        <f t="shared" si="1"/>
        <v>19</v>
      </c>
      <c r="C19" s="36">
        <f>IF(OR(C18&lt;30,C18=""),"",'Metric Calcs'!C15)</f>
        <v>2032</v>
      </c>
      <c r="D19" s="80">
        <f>IF(C19=0,"",'Metric Calcs'!D15)</f>
        <v>0</v>
      </c>
      <c r="E19" s="80">
        <f>IF(OR(E17=1,E17=""),"",IF('Metric Data'!$B$2,'Metric Calcs'!E15,'Metric Calcs'!F15))</f>
        <v>0</v>
      </c>
      <c r="F19" s="30">
        <f>IF(OR(F17=1,F17=""),"",IF('Metric Data'!$B$2,'Metric Calcs'!F15,'Metric Calcs'!H15))</f>
        <v>0</v>
      </c>
      <c r="G19" s="30">
        <f>IF(OR(G17=1,G17=""),"",IF('Metric Data'!$B$2,'Metric Calcs'!G15,'Metric Calcs'!K15))</f>
        <v>0</v>
      </c>
      <c r="H19" s="30">
        <f>IF(OR(H17=1,H17=""),"",IF('Metric Data'!$B$2,'Metric Calcs'!H15,'Metric Calcs'!N15))</f>
        <v>5.9943999999999997</v>
      </c>
      <c r="I19" s="30">
        <f>IF(OR(I17=1,I17=""),"",IF('Metric Data'!$B$2,'Metric Calcs'!K15,'Metric Calcs'!W15))</f>
        <v>5.9943999999999997</v>
      </c>
      <c r="J19" s="30">
        <f>IF('Metric Data'!$B$2,'Metric Calcs'!N15,"")</f>
        <v>785.12710669120804</v>
      </c>
      <c r="K19" s="30">
        <f>IF('Metric Data'!$B$2,'Metric Calcs'!W15,"")</f>
        <v>102.032</v>
      </c>
      <c r="L19" s="37">
        <f>IF('Metric Data'!$B$2,J19,H19)</f>
        <v>785.12710669120804</v>
      </c>
      <c r="M19" s="112">
        <f>IF('Metric Data'!$B$2,K19,I19)</f>
        <v>102.032</v>
      </c>
      <c r="O19" s="32">
        <f t="shared" ref="O19:O82" si="2">IF(M20="",IF(M19="","",$F$9),M19)</f>
        <v>102.032</v>
      </c>
      <c r="Q19" s="112">
        <f>Q18-($U$11)</f>
        <v>2.032</v>
      </c>
      <c r="R19" s="32">
        <f>IF(AND(C19="",C18=1),0,IF(C19="","",IF(OR(Q19=0,Q19&gt;0),Q19,"")))</f>
        <v>2.032</v>
      </c>
      <c r="S19" s="32">
        <f>IF(R19="","",IF(R19=0,L18/$U$11,IF(ISNUMBER(O20),(L19-L20)/(M19-M20),S18)))</f>
        <v>236.00000000008953</v>
      </c>
      <c r="U19" s="32">
        <f t="shared" ref="U19:U82" si="3">IF(R19="","",1)</f>
        <v>1</v>
      </c>
      <c r="X19" s="30" t="str" cm="1">
        <f t="array" ref="X19">IF($AP$21="INVERT",R19,IF(X18&gt;=$S$12,"",IF(R18="","",INDEX($R$18:$R$227,$U$17-ROWS($R$18:$R18)))))</f>
        <v/>
      </c>
      <c r="Y19" s="30" t="str">
        <f>IF(X19="","",$F$9+X19)</f>
        <v/>
      </c>
      <c r="Z19" s="30" t="str">
        <f>IF(Z18="","",IF($AP$21="TYP",IF(S18="","",INDEX($S$18:$S$227,$U$17-ROWS($S$18:$S18))),IF($AP$21="INVERT",S19,"")))</f>
        <v/>
      </c>
      <c r="AA19" s="75" t="str">
        <f t="shared" ref="AA19:AA82" si="4">IF(Z19="","",Z19/10000)</f>
        <v/>
      </c>
      <c r="AB19" s="260"/>
      <c r="AC19" s="260"/>
      <c r="AD19" s="260"/>
      <c r="AE19" s="260"/>
      <c r="AF19" s="260"/>
      <c r="AG19" s="193" t="b">
        <v>0</v>
      </c>
      <c r="AH19" s="144" t="s">
        <v>148</v>
      </c>
      <c r="AI19" s="208" t="str">
        <f>IFERROR(IF('Metric Data'!B2,$J$18-AI$20,$H$18-AI$20),"")</f>
        <v/>
      </c>
      <c r="AJ19" s="130"/>
      <c r="AK19" s="142">
        <f>INDEX($H$18:$H$200, MATCH($AI$18, $I$18:$I$200, -1))</f>
        <v>5.9943999999999997</v>
      </c>
      <c r="AL19" s="142">
        <f>INDEX($J$18:$J$200, MATCH($AI$18, $K$18:$K$200, -1))</f>
        <v>5.9943999999999997</v>
      </c>
      <c r="AM19" s="122"/>
      <c r="AP19" s="95" t="b">
        <v>0</v>
      </c>
    </row>
    <row r="20" spans="1:44" x14ac:dyDescent="0.2">
      <c r="A20" s="32">
        <f t="shared" si="1"/>
        <v>20</v>
      </c>
      <c r="C20" s="36">
        <f>IF(OR(C19&lt;30,C19=""),"",'Metric Calcs'!C16)</f>
        <v>2006.6</v>
      </c>
      <c r="D20" s="80">
        <f>IF(C20=0,"",'Metric Calcs'!D16)</f>
        <v>0</v>
      </c>
      <c r="E20" s="80">
        <f>IF(OR(E18=1,E18=""),"",IF('Metric Data'!$B$2,'Metric Calcs'!E16,'Metric Calcs'!F16))</f>
        <v>0</v>
      </c>
      <c r="F20" s="30">
        <f>IF(OR(F18=1,F18=""),"",IF('Metric Data'!$B$2,'Metric Calcs'!F16,'Metric Calcs'!H16))</f>
        <v>0</v>
      </c>
      <c r="G20" s="30">
        <f>IF(OR(G18=1,G18=""),"",IF('Metric Data'!$B$2,'Metric Calcs'!G16,'Metric Calcs'!K16))</f>
        <v>0</v>
      </c>
      <c r="H20" s="30">
        <f>IF(OR(H18=1,H18=""),"",IF('Metric Data'!$B$2,'Metric Calcs'!H16,'Metric Calcs'!N16))</f>
        <v>5.9943999999999997</v>
      </c>
      <c r="I20" s="30">
        <f>IF(OR(I18=1,I18=""),"",IF('Metric Data'!$B$2,'Metric Calcs'!K16,'Metric Calcs'!W16))</f>
        <v>5.9943999999999997</v>
      </c>
      <c r="J20" s="30">
        <f>IF('Metric Data'!$B$2,'Metric Calcs'!N16,"")</f>
        <v>779.132706691208</v>
      </c>
      <c r="K20" s="30">
        <f>IF('Metric Data'!$B$2,'Metric Calcs'!W16,"")</f>
        <v>102.00660000000001</v>
      </c>
      <c r="L20" s="37">
        <f>IF('Metric Data'!$B$2,J20,H20)</f>
        <v>779.132706691208</v>
      </c>
      <c r="M20" s="112">
        <f>IF('Metric Data'!$B$2,K20,I20)</f>
        <v>102.00660000000001</v>
      </c>
      <c r="O20" s="32">
        <f t="shared" si="2"/>
        <v>102.00660000000001</v>
      </c>
      <c r="Q20" s="112">
        <f t="shared" ref="Q20:Q83" si="5">Q19-($U$11)</f>
        <v>2.0066000000000002</v>
      </c>
      <c r="R20" s="32">
        <f t="shared" ref="R20:R82" si="6">IF(AND(C20="",C19=1),0,IF(C20="","",IF(OR(Q20=0,Q20&gt;0),Q20,"")))</f>
        <v>2.0066000000000002</v>
      </c>
      <c r="S20" s="32">
        <f t="shared" ref="S20:S81" si="7">IF(R20="","",IF(R20=0,L19/$U$11,IF(ISNUMBER(O21),(L20-L21)/(M20-M21),S19)))</f>
        <v>235.99999999995748</v>
      </c>
      <c r="U20" s="32">
        <f t="shared" si="3"/>
        <v>1</v>
      </c>
      <c r="X20" s="30" t="str" cm="1">
        <f t="array" ref="X20">IF($AP$21="INVERT",R20,IF(X19&gt;=$S$12,"",IF(R19="","",INDEX($R$18:$R$227,$U$17-ROWS($R$18:$R19)))))</f>
        <v/>
      </c>
      <c r="Y20" s="30" t="str">
        <f t="shared" ref="Y20:Y82" si="8">IF(X20="","",$F$9+X20)</f>
        <v/>
      </c>
      <c r="Z20" s="30" t="str">
        <f>IF(Z19="","",IF($AP$21="TYP",IF(S19="","",INDEX($S$18:$S$227,$U$17-ROWS($S$18:$S19))),IF($AP$21="INVERT",S20,"")))</f>
        <v/>
      </c>
      <c r="AA20" s="75" t="str">
        <f>IF(Z20="","",Z20/10000)</f>
        <v/>
      </c>
      <c r="AB20" s="260"/>
      <c r="AC20" s="260"/>
      <c r="AD20" s="260"/>
      <c r="AE20" s="260"/>
      <c r="AF20" s="260"/>
      <c r="AG20" s="193" t="b">
        <v>0</v>
      </c>
      <c r="AH20" s="141" t="s">
        <v>149</v>
      </c>
      <c r="AI20" s="185" t="str">
        <f>IFERROR(IF('Metric Data'!B2,AL24,AK24),"")</f>
        <v/>
      </c>
      <c r="AJ20" s="130"/>
      <c r="AK20" s="142" cm="1">
        <f t="array" ref="AK20">IF(INDEX($H$18:$H$200, MATCH($AI$18, $I$18:$I$200, -1)+1)="",0,INDEX($H$18:$H$200, MATCH($AI$18, $I$18:$I$200, -1)+1))</f>
        <v>0</v>
      </c>
      <c r="AL20" s="142" cm="1">
        <f t="array" ref="AL20">IF(INDEX($J$18:$J$200, MATCH($AI$18, $K$18:$K$200, -1)+1)="",0,INDEX($J$18:$J$200, MATCH($AI$18, $K$18:$K$200, -1)+1))</f>
        <v>0</v>
      </c>
      <c r="AM20" s="122"/>
      <c r="AP20" s="101" t="s">
        <v>50</v>
      </c>
      <c r="AR20" s="32" t="s">
        <v>131</v>
      </c>
    </row>
    <row r="21" spans="1:44" x14ac:dyDescent="0.2">
      <c r="A21" s="32">
        <f t="shared" si="1"/>
        <v>21</v>
      </c>
      <c r="C21" s="36">
        <f>IF(OR(C20&lt;30,C20=""),"",'Metric Calcs'!C17)</f>
        <v>1981.1999999999998</v>
      </c>
      <c r="D21" s="80">
        <f>IF(C21=0,"",'Metric Calcs'!D17)</f>
        <v>0</v>
      </c>
      <c r="E21" s="80">
        <f>IF(OR(E19=1,E19=""),"",IF('Metric Data'!$B$2,'Metric Calcs'!E17,'Metric Calcs'!F17))</f>
        <v>0</v>
      </c>
      <c r="F21" s="30">
        <f>IF(OR(F19=1,F19=""),"",IF('Metric Data'!$B$2,'Metric Calcs'!F17,'Metric Calcs'!H17))</f>
        <v>0</v>
      </c>
      <c r="G21" s="30">
        <f>IF(OR(G19=1,G19=""),"",IF('Metric Data'!$B$2,'Metric Calcs'!G17,'Metric Calcs'!K17))</f>
        <v>0</v>
      </c>
      <c r="H21" s="30">
        <f>IF(OR(H19=1,H19=""),"",IF('Metric Data'!$B$2,'Metric Calcs'!H17,'Metric Calcs'!N17))</f>
        <v>5.9943999999999997</v>
      </c>
      <c r="I21" s="30">
        <f>IF(OR(I19=1,I19=""),"",IF('Metric Data'!$B$2,'Metric Calcs'!K17,'Metric Calcs'!W17))</f>
        <v>5.9943999999999997</v>
      </c>
      <c r="J21" s="30">
        <f>IF('Metric Data'!$B$2,'Metric Calcs'!N17,"")</f>
        <v>773.13830669120796</v>
      </c>
      <c r="K21" s="30">
        <f>IF('Metric Data'!$B$2,'Metric Calcs'!W17,"")</f>
        <v>101.9812</v>
      </c>
      <c r="L21" s="37">
        <f>IF('Metric Data'!$B$2,J21,H21)</f>
        <v>773.13830669120796</v>
      </c>
      <c r="M21" s="112">
        <f>IF('Metric Data'!$B$2,K21,I21)</f>
        <v>101.9812</v>
      </c>
      <c r="O21" s="32">
        <f t="shared" si="2"/>
        <v>101.9812</v>
      </c>
      <c r="Q21" s="112">
        <f t="shared" si="5"/>
        <v>1.9812000000000001</v>
      </c>
      <c r="R21" s="32">
        <f t="shared" si="6"/>
        <v>1.9812000000000001</v>
      </c>
      <c r="S21" s="32">
        <f t="shared" si="7"/>
        <v>235.99999999995748</v>
      </c>
      <c r="U21" s="32">
        <f t="shared" si="3"/>
        <v>1</v>
      </c>
      <c r="X21" s="30" t="str" cm="1">
        <f t="array" ref="X21">IF($AP$21="INVERT",R21,IF(X20&gt;=$S$12,"",IF(R20="","",INDEX($R$18:$R$227,$U$17-ROWS($R$18:$R20)))))</f>
        <v/>
      </c>
      <c r="Y21" s="30" t="str">
        <f t="shared" si="8"/>
        <v/>
      </c>
      <c r="Z21" s="30" t="str">
        <f>IF(Z20="","",IF($AP$21="TYP",IF(S20="","",INDEX($S$18:$S$227,$U$17-ROWS($S$18:$S20))),IF($AP$21="INVERT",S21,"")))</f>
        <v/>
      </c>
      <c r="AA21" s="75" t="str">
        <f t="shared" si="4"/>
        <v/>
      </c>
      <c r="AB21" s="260"/>
      <c r="AC21" s="260"/>
      <c r="AD21" s="260"/>
      <c r="AE21" s="260"/>
      <c r="AF21" s="260"/>
      <c r="AG21" s="194"/>
      <c r="AI21" s="187"/>
      <c r="AJ21" s="130"/>
      <c r="AK21" s="143">
        <f>INDEX($I$18:$I$200, MATCH(AK19, $H$18:$H$200, 0))</f>
        <v>5.9943999999999997</v>
      </c>
      <c r="AL21" s="143">
        <f>INDEX($K$18:$K$200, MATCH(AL19, $J$18:$J$200, 0))</f>
        <v>100.0254</v>
      </c>
      <c r="AM21" s="122"/>
      <c r="AP21" s="32" t="str">
        <f>IF(AND(AP17,AP19=FALSE),"TYP",IF(AND(AP17,AP19),"INVERT",""))</f>
        <v/>
      </c>
      <c r="AR21" s="32" t="b">
        <f>IF(C7="Number of End Caps -",ISEVEN(F7),TRUE)</f>
        <v>1</v>
      </c>
    </row>
    <row r="22" spans="1:44" x14ac:dyDescent="0.2">
      <c r="A22" s="32">
        <f t="shared" si="1"/>
        <v>22</v>
      </c>
      <c r="C22" s="36">
        <f>IF(OR(C21&lt;30,C21=""),"",'Metric Calcs'!C18)</f>
        <v>1955.8</v>
      </c>
      <c r="D22" s="80">
        <f>IF(C22=0,"",'Metric Calcs'!D18)</f>
        <v>0</v>
      </c>
      <c r="E22" s="80">
        <f>IF(OR(E20=1,E20=""),"",IF('Metric Data'!$B$2,'Metric Calcs'!E18,'Metric Calcs'!F18))</f>
        <v>0</v>
      </c>
      <c r="F22" s="30">
        <f>IF(OR(F20=1,F20=""),"",IF('Metric Data'!$B$2,'Metric Calcs'!F18,'Metric Calcs'!H18))</f>
        <v>0</v>
      </c>
      <c r="G22" s="30">
        <f>IF(OR(G20=1,G20=""),"",IF('Metric Data'!$B$2,'Metric Calcs'!G18,'Metric Calcs'!K18))</f>
        <v>0</v>
      </c>
      <c r="H22" s="30">
        <f>IF(OR(H20=1,H20=""),"",IF('Metric Data'!$B$2,'Metric Calcs'!H18,'Metric Calcs'!N18))</f>
        <v>5.9943999999999997</v>
      </c>
      <c r="I22" s="30">
        <f>IF(OR(I20=1,I20=""),"",IF('Metric Data'!$B$2,'Metric Calcs'!K18,'Metric Calcs'!W18))</f>
        <v>5.9943999999999997</v>
      </c>
      <c r="J22" s="30">
        <f>IF('Metric Data'!$B$2,'Metric Calcs'!N18,"")</f>
        <v>767.14390669120792</v>
      </c>
      <c r="K22" s="30">
        <f>IF('Metric Data'!$B$2,'Metric Calcs'!W18,"")</f>
        <v>101.9558</v>
      </c>
      <c r="L22" s="37">
        <f>IF('Metric Data'!$B$2,J22,H22)</f>
        <v>767.14390669120792</v>
      </c>
      <c r="M22" s="112">
        <f>IF('Metric Data'!$B$2,K22,I22)</f>
        <v>101.9558</v>
      </c>
      <c r="O22" s="32">
        <f t="shared" si="2"/>
        <v>101.9558</v>
      </c>
      <c r="Q22" s="112">
        <f t="shared" si="5"/>
        <v>1.9558</v>
      </c>
      <c r="R22" s="32">
        <f t="shared" si="6"/>
        <v>1.9558</v>
      </c>
      <c r="S22" s="32">
        <f t="shared" si="7"/>
        <v>236.00000000008953</v>
      </c>
      <c r="U22" s="32">
        <f t="shared" si="3"/>
        <v>1</v>
      </c>
      <c r="X22" s="30" t="str" cm="1">
        <f t="array" ref="X22">IF($AP$21="INVERT",R22,IF(X21&gt;=$S$12,"",IF(R21="","",INDEX($R$18:$R$227,$U$17-ROWS($R$18:$R21)))))</f>
        <v/>
      </c>
      <c r="Y22" s="30" t="str">
        <f t="shared" si="8"/>
        <v/>
      </c>
      <c r="Z22" s="30" t="str">
        <f>IF(Z21="","",IF($AP$21="TYP",IF(S21="","",INDEX($S$18:$S$227,$U$17-ROWS($S$18:$S21))),IF($AP$21="INVERT",S22,"")))</f>
        <v/>
      </c>
      <c r="AA22" s="75" t="str">
        <f t="shared" si="4"/>
        <v/>
      </c>
      <c r="AB22" s="260"/>
      <c r="AC22" s="260"/>
      <c r="AD22" s="260"/>
      <c r="AE22" s="260"/>
      <c r="AF22" s="260"/>
      <c r="AG22" s="193" t="b">
        <v>0</v>
      </c>
      <c r="AH22" s="144" t="s">
        <v>144</v>
      </c>
      <c r="AI22" s="185" t="str">
        <f>IF(AND(AI18&lt;&gt;"",AI24=""),AI20-0,IF(AND(AI24&lt;&gt;"",AI18=""),AI25,IF(AND(AI18="",AI24=""),"",IF(AND(AI18&lt;&gt;"",AI24&lt;&gt;""),AI20-AI26,IF('Metric Data'!B2,J18,H18)))))</f>
        <v/>
      </c>
      <c r="AJ22" s="132"/>
      <c r="AK22" s="142">
        <f>IFERROR(INDEX($I$18:$I$200, MATCH(AK20, $H$18:$H$200, -1)), MIN($I$18:$I$200) - 25.4/1000)</f>
        <v>5.9943999999999997</v>
      </c>
      <c r="AL22" s="142">
        <f>IFERROR(INDEX($K$18:$K$200, MATCH(AL20, $J$18:$J$200, -1)), MIN($K$18:$K$200) - 25.4/1000)</f>
        <v>100.0254</v>
      </c>
      <c r="AM22" s="122"/>
    </row>
    <row r="23" spans="1:44" x14ac:dyDescent="0.2">
      <c r="A23" s="32">
        <f t="shared" si="1"/>
        <v>23</v>
      </c>
      <c r="C23" s="36">
        <f>IF(OR(C22&lt;30,C22=""),"",'Metric Calcs'!C19)</f>
        <v>1930.3999999999999</v>
      </c>
      <c r="D23" s="80">
        <f>IF(C23=0,"",'Metric Calcs'!D19)</f>
        <v>0</v>
      </c>
      <c r="E23" s="80">
        <f>IF(OR(E21=1,E21=""),"",IF('Metric Data'!$B$2,'Metric Calcs'!E19,'Metric Calcs'!F19))</f>
        <v>0</v>
      </c>
      <c r="F23" s="30">
        <f>IF(OR(F21=1,F21=""),"",IF('Metric Data'!$B$2,'Metric Calcs'!F19,'Metric Calcs'!H19))</f>
        <v>0</v>
      </c>
      <c r="G23" s="30">
        <f>IF(OR(G21=1,G21=""),"",IF('Metric Data'!$B$2,'Metric Calcs'!G19,'Metric Calcs'!K19))</f>
        <v>0</v>
      </c>
      <c r="H23" s="30">
        <f>IF(OR(H21=1,H21=""),"",IF('Metric Data'!$B$2,'Metric Calcs'!H19,'Metric Calcs'!N19))</f>
        <v>5.9943999999999997</v>
      </c>
      <c r="I23" s="30">
        <f>IF(OR(I21=1,I21=""),"",IF('Metric Data'!$B$2,'Metric Calcs'!K19,'Metric Calcs'!W19))</f>
        <v>5.9943999999999997</v>
      </c>
      <c r="J23" s="30">
        <f>IF('Metric Data'!$B$2,'Metric Calcs'!N19,"")</f>
        <v>761.14950669120788</v>
      </c>
      <c r="K23" s="30">
        <f>IF('Metric Data'!$B$2,'Metric Calcs'!W19,"")</f>
        <v>101.93040000000001</v>
      </c>
      <c r="L23" s="37">
        <f>IF('Metric Data'!$B$2,J23,H23)</f>
        <v>761.14950669120788</v>
      </c>
      <c r="M23" s="112">
        <f>IF('Metric Data'!$B$2,K23,I23)</f>
        <v>101.93040000000001</v>
      </c>
      <c r="O23" s="32">
        <f t="shared" si="2"/>
        <v>101.93040000000001</v>
      </c>
      <c r="Q23" s="112">
        <f t="shared" si="5"/>
        <v>1.9303999999999999</v>
      </c>
      <c r="R23" s="32">
        <f t="shared" si="6"/>
        <v>1.9303999999999999</v>
      </c>
      <c r="S23" s="32">
        <f t="shared" si="7"/>
        <v>235.99999999995748</v>
      </c>
      <c r="U23" s="32">
        <f t="shared" si="3"/>
        <v>1</v>
      </c>
      <c r="X23" s="30" t="str" cm="1">
        <f t="array" ref="X23">IF($AP$21="INVERT",R23,IF(X22&gt;=$S$12,"",IF(R22="","",INDEX($R$18:$R$227,$U$17-ROWS($R$18:$R22)))))</f>
        <v/>
      </c>
      <c r="Y23" s="30" t="str">
        <f t="shared" si="8"/>
        <v/>
      </c>
      <c r="Z23" s="30" t="str">
        <f>IF(Z22="","",IF($AP$21="TYP",IF(S22="","",INDEX($S$18:$S$227,$U$17-ROWS($S$18:$S22))),IF($AP$21="INVERT",S23,"")))</f>
        <v/>
      </c>
      <c r="AA23" s="75" t="str">
        <f t="shared" si="4"/>
        <v/>
      </c>
      <c r="AB23" s="260"/>
      <c r="AC23" s="260"/>
      <c r="AD23" s="260"/>
      <c r="AE23" s="260"/>
      <c r="AF23" s="260"/>
      <c r="AG23" s="194"/>
      <c r="AH23" s="141"/>
      <c r="AI23" s="184"/>
      <c r="AJ23" s="132"/>
      <c r="AK23" s="143" t="e">
        <f>(((ROUND(AK19,2)-ROUND(AK20,2))/(ROUND(AK21,2)-ROUND(AK22,2)))*(ROUND(AK21,2)-$AI$18)-ROUND(AK19,2))*-1</f>
        <v>#DIV/0!</v>
      </c>
      <c r="AL23" s="143" t="e">
        <f>(((ROUND(AL19,2)-ROUND(AL20,2))/(ROUND(AL21,2)-ROUND(AL22,2)))*(ROUND(AL21,2)-$AI$18)-ROUND(AL19,2))*-1</f>
        <v>#DIV/0!</v>
      </c>
      <c r="AM23" s="122"/>
      <c r="AQ23" s="101" t="s">
        <v>157</v>
      </c>
    </row>
    <row r="24" spans="1:44" x14ac:dyDescent="0.2">
      <c r="A24" s="32">
        <f t="shared" si="1"/>
        <v>24</v>
      </c>
      <c r="C24" s="36">
        <f>IF(OR(C23&lt;30,C23=""),"",'Metric Calcs'!C20)</f>
        <v>1905</v>
      </c>
      <c r="D24" s="80">
        <f>IF(C24=0,"",'Metric Calcs'!D20)</f>
        <v>0</v>
      </c>
      <c r="E24" s="80">
        <f>IF(OR(E22=1,E22=""),"",IF('Metric Data'!$B$2,'Metric Calcs'!E20,'Metric Calcs'!F20))</f>
        <v>0</v>
      </c>
      <c r="F24" s="30">
        <f>IF(OR(F22=1,F22=""),"",IF('Metric Data'!$B$2,'Metric Calcs'!F20,'Metric Calcs'!H20))</f>
        <v>0</v>
      </c>
      <c r="G24" s="30">
        <f>IF(OR(G22=1,G22=""),"",IF('Metric Data'!$B$2,'Metric Calcs'!G20,'Metric Calcs'!K20))</f>
        <v>0</v>
      </c>
      <c r="H24" s="30">
        <f>IF(OR(H22=1,H22=""),"",IF('Metric Data'!$B$2,'Metric Calcs'!H20,'Metric Calcs'!N20))</f>
        <v>5.9943999999999997</v>
      </c>
      <c r="I24" s="30">
        <f>IF(OR(I22=1,I22=""),"",IF('Metric Data'!$B$2,'Metric Calcs'!K20,'Metric Calcs'!W20))</f>
        <v>5.9943999999999997</v>
      </c>
      <c r="J24" s="30">
        <f>IF('Metric Data'!$B$2,'Metric Calcs'!N20,"")</f>
        <v>755.15510669120783</v>
      </c>
      <c r="K24" s="30">
        <f>IF('Metric Data'!$B$2,'Metric Calcs'!W20,"")</f>
        <v>101.905</v>
      </c>
      <c r="L24" s="37">
        <f>IF('Metric Data'!$B$2,J24,H24)</f>
        <v>755.15510669120783</v>
      </c>
      <c r="M24" s="112">
        <f>IF('Metric Data'!$B$2,K24,I24)</f>
        <v>101.905</v>
      </c>
      <c r="N24" s="37"/>
      <c r="O24" s="32">
        <f t="shared" si="2"/>
        <v>101.905</v>
      </c>
      <c r="Q24" s="112">
        <f t="shared" si="5"/>
        <v>1.9049999999999998</v>
      </c>
      <c r="R24" s="32">
        <f t="shared" si="6"/>
        <v>1.9049999999999998</v>
      </c>
      <c r="S24" s="32">
        <f t="shared" si="7"/>
        <v>235.99999999995748</v>
      </c>
      <c r="U24" s="32">
        <f t="shared" si="3"/>
        <v>1</v>
      </c>
      <c r="X24" s="30" t="str" cm="1">
        <f t="array" ref="X24">IF($AP$21="INVERT",R24,IF(X23&gt;=$S$12,"",IF(R23="","",INDEX($R$18:$R$227,$U$17-ROWS($R$18:$R23)))))</f>
        <v/>
      </c>
      <c r="Y24" s="30" t="str">
        <f t="shared" si="8"/>
        <v/>
      </c>
      <c r="Z24" s="30" t="str">
        <f>IF(Z23="","",IF($AP$21="TYP",IF(S23="","",INDEX($S$18:$S$227,$U$17-ROWS($S$18:$S23))),IF($AP$21="INVERT",S24,"")))</f>
        <v/>
      </c>
      <c r="AA24" s="75" t="str">
        <f t="shared" si="4"/>
        <v/>
      </c>
      <c r="AB24" s="175" t="e">
        <f>"Volume above elevation "&amp;AI18&amp;" = "&amp;ROUND(AI19,2)</f>
        <v>#VALUE!</v>
      </c>
      <c r="AC24" s="164"/>
      <c r="AD24" s="164"/>
      <c r="AE24" s="164"/>
      <c r="AF24" s="164"/>
      <c r="AG24" s="186"/>
      <c r="AH24" s="178" t="s">
        <v>145</v>
      </c>
      <c r="AI24" s="209"/>
      <c r="AJ24" s="146"/>
      <c r="AK24" s="147" t="e">
        <f>ROUND(MAX(IFERROR(AK23,AK18),0),2)</f>
        <v>#N/A</v>
      </c>
      <c r="AL24" s="147" t="e">
        <f>ROUND(MAX(IFERROR(AL23,AL18),0),2)</f>
        <v>#N/A</v>
      </c>
      <c r="AM24" s="122"/>
      <c r="AQ24" s="179">
        <f>25.4/1000-0.0001</f>
        <v>2.53E-2</v>
      </c>
    </row>
    <row r="25" spans="1:44" x14ac:dyDescent="0.2">
      <c r="A25" s="32">
        <f t="shared" si="1"/>
        <v>25</v>
      </c>
      <c r="C25" s="36">
        <f>IF(OR(C24&lt;30,C24=""),"",'Metric Calcs'!C21)</f>
        <v>1879.6</v>
      </c>
      <c r="D25" s="80">
        <f>IF(C25=0,"",'Metric Calcs'!D21)</f>
        <v>0</v>
      </c>
      <c r="E25" s="80">
        <f>IF(OR(E23=1,E23=""),"",IF('Metric Data'!$B$2,'Metric Calcs'!E21,'Metric Calcs'!F21))</f>
        <v>0</v>
      </c>
      <c r="F25" s="30">
        <f>IF(OR(F23=1,F23=""),"",IF('Metric Data'!$B$2,'Metric Calcs'!F21,'Metric Calcs'!H21))</f>
        <v>0</v>
      </c>
      <c r="G25" s="30">
        <f>IF(OR(G23=1,G23=""),"",IF('Metric Data'!$B$2,'Metric Calcs'!G21,'Metric Calcs'!K21))</f>
        <v>0</v>
      </c>
      <c r="H25" s="30">
        <f>IF(OR(H23=1,H23=""),"",IF('Metric Data'!$B$2,'Metric Calcs'!H21,'Metric Calcs'!N21))</f>
        <v>5.9943999999999997</v>
      </c>
      <c r="I25" s="30">
        <f>IF(OR(I23=1,I23=""),"",IF('Metric Data'!$B$2,'Metric Calcs'!K21,'Metric Calcs'!W21))</f>
        <v>5.9943999999999997</v>
      </c>
      <c r="J25" s="30">
        <f>IF('Metric Data'!$B$2,'Metric Calcs'!N21,"")</f>
        <v>749.16070669120779</v>
      </c>
      <c r="K25" s="30">
        <f>IF('Metric Data'!$B$2,'Metric Calcs'!W21,"")</f>
        <v>101.8796</v>
      </c>
      <c r="L25" s="37">
        <f>IF('Metric Data'!$B$2,J25,H25)</f>
        <v>749.16070669120779</v>
      </c>
      <c r="M25" s="112">
        <f>IF('Metric Data'!$B$2,K25,I25)</f>
        <v>101.8796</v>
      </c>
      <c r="O25" s="32">
        <f t="shared" si="2"/>
        <v>101.8796</v>
      </c>
      <c r="Q25" s="112">
        <f t="shared" si="5"/>
        <v>1.8795999999999997</v>
      </c>
      <c r="R25" s="32">
        <f t="shared" si="6"/>
        <v>1.8795999999999997</v>
      </c>
      <c r="S25" s="32">
        <f t="shared" si="7"/>
        <v>236.00000000008953</v>
      </c>
      <c r="U25" s="32">
        <f t="shared" si="3"/>
        <v>1</v>
      </c>
      <c r="X25" s="30" t="str" cm="1">
        <f t="array" ref="X25">IF($AP$21="INVERT",R25,IF(X24&gt;=$S$12,"",IF(R24="","",INDEX($R$18:$R$227,$U$17-ROWS($R$18:$R24)))))</f>
        <v/>
      </c>
      <c r="Y25" s="30" t="str">
        <f t="shared" si="8"/>
        <v/>
      </c>
      <c r="Z25" s="30" t="str">
        <f>IF(Z24="","",IF($AP$21="TYP",IF(S24="","",INDEX($S$18:$S$227,$U$17-ROWS($S$18:$S24))),IF($AP$21="INVERT",S25,"")))</f>
        <v/>
      </c>
      <c r="AA25" s="75" t="str">
        <f t="shared" si="4"/>
        <v/>
      </c>
      <c r="AB25" s="175" t="e">
        <f>"Volume below elevation "&amp;AI18&amp;" = "&amp;ROUND(AI20,2)</f>
        <v>#VALUE!</v>
      </c>
      <c r="AC25" s="164"/>
      <c r="AD25" s="164"/>
      <c r="AE25" s="164"/>
      <c r="AF25" s="164"/>
      <c r="AG25" s="193" t="b">
        <v>0</v>
      </c>
      <c r="AH25" s="145" t="s">
        <v>146</v>
      </c>
      <c r="AI25" s="185">
        <f>IFERROR(IF('Metric Data'!B2,$J$18-AI26,$H$18-AI26),"")</f>
        <v>791.12150669120808</v>
      </c>
      <c r="AJ25" s="146"/>
      <c r="AK25" s="148" t="s">
        <v>129</v>
      </c>
      <c r="AL25" s="149"/>
      <c r="AM25" s="35"/>
    </row>
    <row r="26" spans="1:44" ht="13.5" thickBot="1" x14ac:dyDescent="0.25">
      <c r="A26" s="32">
        <f t="shared" si="1"/>
        <v>26</v>
      </c>
      <c r="C26" s="36">
        <f>IF(OR(C25&lt;30,C25=""),"",'Metric Calcs'!C22)</f>
        <v>1854.1999999999998</v>
      </c>
      <c r="D26" s="80">
        <f>IF(C26=0,"",'Metric Calcs'!D22)</f>
        <v>0</v>
      </c>
      <c r="E26" s="80">
        <f>IF(OR(E24=1,E24=""),"",IF('Metric Data'!$B$2,'Metric Calcs'!E22,'Metric Calcs'!F22))</f>
        <v>0</v>
      </c>
      <c r="F26" s="30">
        <f>IF(OR(F24=1,F24=""),"",IF('Metric Data'!$B$2,'Metric Calcs'!F22,'Metric Calcs'!H22))</f>
        <v>0</v>
      </c>
      <c r="G26" s="30">
        <f>IF(OR(G24=1,G24=""),"",IF('Metric Data'!$B$2,'Metric Calcs'!G22,'Metric Calcs'!K22))</f>
        <v>0</v>
      </c>
      <c r="H26" s="30">
        <f>IF(OR(H24=1,H24=""),"",IF('Metric Data'!$B$2,'Metric Calcs'!H22,'Metric Calcs'!N22))</f>
        <v>5.9943999999999997</v>
      </c>
      <c r="I26" s="30">
        <f>IF(OR(I24=1,I24=""),"",IF('Metric Data'!$B$2,'Metric Calcs'!K22,'Metric Calcs'!W22))</f>
        <v>5.9943999999999997</v>
      </c>
      <c r="J26" s="30">
        <f>IF('Metric Data'!$B$2,'Metric Calcs'!N22,"")</f>
        <v>743.16630669120775</v>
      </c>
      <c r="K26" s="30">
        <f>IF('Metric Data'!$B$2,'Metric Calcs'!W22,"")</f>
        <v>101.85420000000001</v>
      </c>
      <c r="L26" s="37">
        <f>IF('Metric Data'!$B$2,J26,H26)</f>
        <v>743.16630669120775</v>
      </c>
      <c r="M26" s="112">
        <f>IF('Metric Data'!$B$2,K26,I26)</f>
        <v>101.85420000000001</v>
      </c>
      <c r="O26" s="32">
        <f t="shared" si="2"/>
        <v>101.85420000000001</v>
      </c>
      <c r="Q26" s="112">
        <f t="shared" si="5"/>
        <v>1.8541999999999996</v>
      </c>
      <c r="R26" s="32">
        <f t="shared" si="6"/>
        <v>1.8541999999999996</v>
      </c>
      <c r="S26" s="32">
        <f t="shared" si="7"/>
        <v>235.99999999995748</v>
      </c>
      <c r="U26" s="32">
        <f t="shared" si="3"/>
        <v>1</v>
      </c>
      <c r="X26" s="30" t="str" cm="1">
        <f t="array" ref="X26">IF($AP$21="INVERT",R26,IF(X25&gt;=$S$12,"",IF(R25="","",INDEX($R$18:$R$227,$U$17-ROWS($R$18:$R25)))))</f>
        <v/>
      </c>
      <c r="Y26" s="30" t="str">
        <f t="shared" si="8"/>
        <v/>
      </c>
      <c r="Z26" s="30" t="str">
        <f>IF(Z25="","",IF($AP$21="TYP",IF(S25="","",INDEX($S$18:$S$227,$U$17-ROWS($S$18:$S25))),IF($AP$21="INVERT",S26,"")))</f>
        <v/>
      </c>
      <c r="AA26" s="75" t="str">
        <f t="shared" si="4"/>
        <v/>
      </c>
      <c r="AB26" s="175" t="str">
        <f>"Volume between elevations "&amp;AI18&amp;" and "&amp;AI24&amp;" = "&amp;AI22</f>
        <v xml:space="preserve">Volume between elevations  and  = </v>
      </c>
      <c r="AC26" s="164"/>
      <c r="AD26" s="164"/>
      <c r="AE26" s="164"/>
      <c r="AF26" s="164"/>
      <c r="AG26" s="196" t="b">
        <v>0</v>
      </c>
      <c r="AH26" s="205" t="s">
        <v>147</v>
      </c>
      <c r="AI26" s="189">
        <f>IFERROR(IF('Metric Data'!B2,AL33,AK33),"")</f>
        <v>0</v>
      </c>
      <c r="AJ26" s="146"/>
      <c r="AK26" s="150" t="s">
        <v>126</v>
      </c>
      <c r="AL26" s="139" t="s">
        <v>127</v>
      </c>
      <c r="AM26" s="35"/>
    </row>
    <row r="27" spans="1:44" x14ac:dyDescent="0.2">
      <c r="A27" s="32">
        <f t="shared" si="1"/>
        <v>27</v>
      </c>
      <c r="C27" s="36">
        <f>IF(OR(C26&lt;30,C26=""),"",'Metric Calcs'!C23)</f>
        <v>1828.8</v>
      </c>
      <c r="D27" s="80">
        <f>IF(C27=0,"",'Metric Calcs'!D23)</f>
        <v>0</v>
      </c>
      <c r="E27" s="80">
        <f>IF(OR(E25=1,E25=""),"",IF('Metric Data'!$B$2,'Metric Calcs'!E23,'Metric Calcs'!F23))</f>
        <v>0</v>
      </c>
      <c r="F27" s="30">
        <f>IF(OR(F25=1,F25=""),"",IF('Metric Data'!$B$2,'Metric Calcs'!F23,'Metric Calcs'!H23))</f>
        <v>0</v>
      </c>
      <c r="G27" s="30">
        <f>IF(OR(G25=1,G25=""),"",IF('Metric Data'!$B$2,'Metric Calcs'!G23,'Metric Calcs'!K23))</f>
        <v>0</v>
      </c>
      <c r="H27" s="30">
        <f>IF(OR(H25=1,H25=""),"",IF('Metric Data'!$B$2,'Metric Calcs'!H23,'Metric Calcs'!N23))</f>
        <v>5.9943999999999997</v>
      </c>
      <c r="I27" s="30">
        <f>IF(OR(I25=1,I25=""),"",IF('Metric Data'!$B$2,'Metric Calcs'!K23,'Metric Calcs'!W23))</f>
        <v>5.9943999999999997</v>
      </c>
      <c r="J27" s="30">
        <f>IF('Metric Data'!$B$2,'Metric Calcs'!N23,"")</f>
        <v>737.17190669120771</v>
      </c>
      <c r="K27" s="30">
        <f>IF('Metric Data'!$B$2,'Metric Calcs'!W23,"")</f>
        <v>101.8288</v>
      </c>
      <c r="L27" s="37">
        <f>IF('Metric Data'!$B$2,J27,H27)</f>
        <v>737.17190669120771</v>
      </c>
      <c r="M27" s="112">
        <f>IF('Metric Data'!$B$2,K27,I27)</f>
        <v>101.8288</v>
      </c>
      <c r="O27" s="32">
        <f t="shared" si="2"/>
        <v>101.8288</v>
      </c>
      <c r="Q27" s="112">
        <f t="shared" si="5"/>
        <v>1.8287999999999995</v>
      </c>
      <c r="R27" s="32">
        <f t="shared" si="6"/>
        <v>1.8287999999999995</v>
      </c>
      <c r="S27" s="32">
        <f t="shared" si="7"/>
        <v>235.99999999995748</v>
      </c>
      <c r="U27" s="32">
        <f t="shared" si="3"/>
        <v>1</v>
      </c>
      <c r="X27" s="30" t="str" cm="1">
        <f t="array" ref="X27">IF($AP$21="INVERT",R27,IF(X26&gt;=$S$12,"",IF(R26="","",INDEX($R$18:$R$227,$U$17-ROWS($R$18:$R26)))))</f>
        <v/>
      </c>
      <c r="Y27" s="30" t="str">
        <f t="shared" si="8"/>
        <v/>
      </c>
      <c r="Z27" s="30" t="str">
        <f>IF(Z26="","",IF($AP$21="TYP",IF(S26="","",INDEX($S$18:$S$227,$U$17-ROWS($S$18:$S26))),IF($AP$21="INVERT",S27,"")))</f>
        <v/>
      </c>
      <c r="AA27" s="75" t="str">
        <f t="shared" si="4"/>
        <v/>
      </c>
      <c r="AB27" s="175" t="str">
        <f>"Volume above elevation "&amp;AI24&amp;" = "&amp;ROUND(AI25,2)</f>
        <v>Volume above elevation  = 791.12</v>
      </c>
      <c r="AC27" s="164"/>
      <c r="AD27" s="164"/>
      <c r="AE27" s="164"/>
      <c r="AF27" s="164"/>
      <c r="AG27" s="211"/>
      <c r="AJ27" s="146"/>
      <c r="AK27" s="151" t="e">
        <f>INDEX($H$18:$H$200, MATCH($AI$24, $I$18:$I$200, 0))</f>
        <v>#N/A</v>
      </c>
      <c r="AL27" s="151" t="e">
        <f>INDEX($J$18:$J$200, MATCH($AI$24, $K$18:$K$200, 0))</f>
        <v>#N/A</v>
      </c>
      <c r="AM27" s="35"/>
    </row>
    <row r="28" spans="1:44" x14ac:dyDescent="0.2">
      <c r="A28" s="32">
        <f t="shared" si="1"/>
        <v>28</v>
      </c>
      <c r="C28" s="36">
        <f>IF(OR(C27&lt;30,C27=""),"",'Metric Calcs'!C24)</f>
        <v>1803.3999999999999</v>
      </c>
      <c r="D28" s="80">
        <f>IF(C28=0,"",'Metric Calcs'!D24)</f>
        <v>0</v>
      </c>
      <c r="E28" s="80">
        <f>IF(OR(E26=1,E26=""),"",IF('Metric Data'!$B$2,'Metric Calcs'!E24,'Metric Calcs'!F24))</f>
        <v>0</v>
      </c>
      <c r="F28" s="30">
        <f>IF(OR(F26=1,F26=""),"",IF('Metric Data'!$B$2,'Metric Calcs'!F24,'Metric Calcs'!H24))</f>
        <v>0</v>
      </c>
      <c r="G28" s="30">
        <f>IF(OR(G26=1,G26=""),"",IF('Metric Data'!$B$2,'Metric Calcs'!G24,'Metric Calcs'!K24))</f>
        <v>0</v>
      </c>
      <c r="H28" s="30">
        <f>IF(OR(H26=1,H26=""),"",IF('Metric Data'!$B$2,'Metric Calcs'!H24,'Metric Calcs'!N24))</f>
        <v>5.9943999999999997</v>
      </c>
      <c r="I28" s="30">
        <f>IF(OR(I26=1,I26=""),"",IF('Metric Data'!$B$2,'Metric Calcs'!K24,'Metric Calcs'!W24))</f>
        <v>5.9943999999999997</v>
      </c>
      <c r="J28" s="30">
        <f>IF('Metric Data'!$B$2,'Metric Calcs'!N24,"")</f>
        <v>731.17750669120767</v>
      </c>
      <c r="K28" s="30">
        <f>IF('Metric Data'!$B$2,'Metric Calcs'!W24,"")</f>
        <v>101.8034</v>
      </c>
      <c r="L28" s="37">
        <f>IF('Metric Data'!$B$2,J28,H28)</f>
        <v>731.17750669120767</v>
      </c>
      <c r="M28" s="112">
        <f>IF('Metric Data'!$B$2,K28,I28)</f>
        <v>101.8034</v>
      </c>
      <c r="O28" s="32">
        <f t="shared" si="2"/>
        <v>101.8034</v>
      </c>
      <c r="Q28" s="112">
        <f t="shared" si="5"/>
        <v>1.8033999999999994</v>
      </c>
      <c r="R28" s="32">
        <f t="shared" si="6"/>
        <v>1.8033999999999994</v>
      </c>
      <c r="S28" s="32">
        <f t="shared" si="7"/>
        <v>236.00000000008953</v>
      </c>
      <c r="U28" s="32">
        <f t="shared" si="3"/>
        <v>1</v>
      </c>
      <c r="X28" s="30" t="str" cm="1">
        <f t="array" ref="X28">IF($AP$21="INVERT",R28,IF(X27&gt;=$S$12,"",IF(R27="","",INDEX($R$18:$R$227,$U$17-ROWS($R$18:$R27)))))</f>
        <v/>
      </c>
      <c r="Y28" s="30" t="str">
        <f t="shared" si="8"/>
        <v/>
      </c>
      <c r="Z28" s="30" t="str">
        <f>IF(Z27="","",IF($AP$21="TYP",IF(S27="","",INDEX($S$18:$S$227,$U$17-ROWS($S$18:$S27))),IF($AP$21="INVERT",S28,"")))</f>
        <v/>
      </c>
      <c r="AA28" s="75" t="str">
        <f t="shared" si="4"/>
        <v/>
      </c>
      <c r="AB28" s="175" t="str">
        <f>"Volume below elevation "&amp;AI24&amp;" = "&amp;ROUND(AI26,2)</f>
        <v>Volume below elevation  = 0</v>
      </c>
      <c r="AC28" s="164"/>
      <c r="AD28" s="164"/>
      <c r="AE28" s="164"/>
      <c r="AF28" s="164"/>
      <c r="AJ28" s="146"/>
      <c r="AK28" s="152">
        <f>INDEX($H$18:$H$200, MATCH(AI24, $I$18:$I$200, -1))</f>
        <v>5.9943999999999997</v>
      </c>
      <c r="AL28" s="152">
        <f>INDEX($J$18:$J$200, MATCH(AI24, $K$18:$K$200, -1))</f>
        <v>5.9943999999999997</v>
      </c>
      <c r="AM28" s="35"/>
    </row>
    <row r="29" spans="1:44" ht="13.5" thickBot="1" x14ac:dyDescent="0.25">
      <c r="A29" s="32">
        <f t="shared" si="1"/>
        <v>29</v>
      </c>
      <c r="C29" s="36">
        <f>IF(OR(C28&lt;30,C28=""),"",'Metric Calcs'!C25)</f>
        <v>1778</v>
      </c>
      <c r="D29" s="80">
        <f>IF(C29=0,"",'Metric Calcs'!D25)</f>
        <v>0</v>
      </c>
      <c r="E29" s="80">
        <f>IF(OR(E27=1,E27=""),"",IF('Metric Data'!$B$2,'Metric Calcs'!E25,'Metric Calcs'!F25))</f>
        <v>0</v>
      </c>
      <c r="F29" s="30">
        <f>IF(OR(F27=1,F27=""),"",IF('Metric Data'!$B$2,'Metric Calcs'!F25,'Metric Calcs'!H25))</f>
        <v>0</v>
      </c>
      <c r="G29" s="30">
        <f>IF(OR(G27=1,G27=""),"",IF('Metric Data'!$B$2,'Metric Calcs'!G25,'Metric Calcs'!K25))</f>
        <v>0</v>
      </c>
      <c r="H29" s="30">
        <f>IF(OR(H27=1,H27=""),"",IF('Metric Data'!$B$2,'Metric Calcs'!H25,'Metric Calcs'!N25))</f>
        <v>5.9943999999999997</v>
      </c>
      <c r="I29" s="30">
        <f>IF(OR(I27=1,I27=""),"",IF('Metric Data'!$B$2,'Metric Calcs'!K25,'Metric Calcs'!W25))</f>
        <v>5.9943999999999997</v>
      </c>
      <c r="J29" s="30">
        <f>IF('Metric Data'!$B$2,'Metric Calcs'!N25,"")</f>
        <v>725.18310669120763</v>
      </c>
      <c r="K29" s="30">
        <f>IF('Metric Data'!$B$2,'Metric Calcs'!W25,"")</f>
        <v>101.77800000000001</v>
      </c>
      <c r="L29" s="37">
        <f>IF('Metric Data'!$B$2,J29,H29)</f>
        <v>725.18310669120763</v>
      </c>
      <c r="M29" s="112">
        <f>IF('Metric Data'!$B$2,K29,I29)</f>
        <v>101.77800000000001</v>
      </c>
      <c r="O29" s="32">
        <f t="shared" si="2"/>
        <v>101.77800000000001</v>
      </c>
      <c r="Q29" s="112">
        <f t="shared" si="5"/>
        <v>1.7779999999999994</v>
      </c>
      <c r="R29" s="32">
        <f t="shared" si="6"/>
        <v>1.7779999999999994</v>
      </c>
      <c r="S29" s="32">
        <f t="shared" si="7"/>
        <v>235.99999999995748</v>
      </c>
      <c r="U29" s="32">
        <f t="shared" si="3"/>
        <v>1</v>
      </c>
      <c r="X29" s="30" t="str" cm="1">
        <f t="array" ref="X29">IF($AP$21="INVERT",R29,IF(X28&gt;=$S$12,"",IF(R28="","",INDEX($R$18:$R$227,$U$17-ROWS($R$18:$R28)))))</f>
        <v/>
      </c>
      <c r="Y29" s="30" t="str">
        <f t="shared" si="8"/>
        <v/>
      </c>
      <c r="Z29" s="30" t="str">
        <f>IF(Z28="","",IF($AP$21="TYP",IF(S28="","",INDEX($S$18:$S$227,$U$17-ROWS($S$18:$S28))),IF($AP$21="INVERT",S29,"")))</f>
        <v/>
      </c>
      <c r="AA29" s="75" t="str">
        <f t="shared" si="4"/>
        <v/>
      </c>
      <c r="AB29" s="175" t="str">
        <f>AH34&amp;" "&amp;AI34</f>
        <v xml:space="preserve">Target Volume achieved at Elevation </v>
      </c>
      <c r="AC29" s="35"/>
      <c r="AD29" s="35"/>
      <c r="AE29" s="35"/>
      <c r="AF29" s="35"/>
      <c r="AG29" s="101" t="s">
        <v>154</v>
      </c>
      <c r="AI29" s="212"/>
      <c r="AK29" s="152" cm="1">
        <f t="array" ref="AK29">IF(INDEX($H$18:$H$200, MATCH($AI$24, $I$18:$I$200, -1)+1)="",0,INDEX($H$18:$H$200, MATCH($AI$24, $I$18:$I$200, -1)+1))</f>
        <v>0</v>
      </c>
      <c r="AL29" s="152" cm="1">
        <f t="array" ref="AL29">IF(INDEX($J$18:$J$200, MATCH($AI$24, $K$18:$K$200, -1)+1)="",0,INDEX($J$18:$J$200, MATCH($AI$24, $K$18:$K$200, -1)+1))</f>
        <v>0</v>
      </c>
      <c r="AM29" s="35"/>
    </row>
    <row r="30" spans="1:44" x14ac:dyDescent="0.2">
      <c r="A30" s="32">
        <f t="shared" si="1"/>
        <v>30</v>
      </c>
      <c r="C30" s="36">
        <f>IF(OR(C29&lt;30,C29=""),"",'Metric Calcs'!C26)</f>
        <v>1752.6</v>
      </c>
      <c r="D30" s="80">
        <f>IF(C30=0,"",'Metric Calcs'!D26)</f>
        <v>1.6813240832510611E-3</v>
      </c>
      <c r="E30" s="80">
        <f>IF(OR(E28=1,E28=""),"",IF('Metric Data'!$B$2,'Metric Calcs'!E26,'Metric Calcs'!F26))</f>
        <v>3.6870678182073126E-4</v>
      </c>
      <c r="F30" s="30">
        <f>IF(OR(F28=1,F28=""),"",IF('Metric Data'!$B$2,'Metric Calcs'!F26,'Metric Calcs'!H26))</f>
        <v>0.16813240832510612</v>
      </c>
      <c r="G30" s="30">
        <f>IF(OR(G28=1,G28=""),"",IF('Metric Data'!$B$2,'Metric Calcs'!G26,'Metric Calcs'!K26))</f>
        <v>3.6870678182073127E-3</v>
      </c>
      <c r="H30" s="30">
        <f>IF(OR(H28=1,H28=""),"",IF('Metric Data'!$B$2,'Metric Calcs'!H26,'Metric Calcs'!N26))</f>
        <v>5.9256722095426744</v>
      </c>
      <c r="I30" s="30">
        <f>IF(OR(I28=1,I28=""),"",IF('Metric Data'!$B$2,'Metric Calcs'!K26,'Metric Calcs'!W26))</f>
        <v>6.0974916856859878</v>
      </c>
      <c r="J30" s="30">
        <f>IF('Metric Data'!$B$2,'Metric Calcs'!N26,"")</f>
        <v>719.18870669120759</v>
      </c>
      <c r="K30" s="30">
        <f>IF('Metric Data'!$B$2,'Metric Calcs'!W26,"")</f>
        <v>101.7526</v>
      </c>
      <c r="L30" s="37">
        <f>IF('Metric Data'!$B$2,J30,H30)</f>
        <v>719.18870669120759</v>
      </c>
      <c r="M30" s="112">
        <f>IF('Metric Data'!$B$2,K30,I30)</f>
        <v>101.7526</v>
      </c>
      <c r="O30" s="32">
        <f t="shared" si="2"/>
        <v>101.7526</v>
      </c>
      <c r="Q30" s="112">
        <f t="shared" si="5"/>
        <v>1.7525999999999993</v>
      </c>
      <c r="R30" s="32">
        <f t="shared" si="6"/>
        <v>1.7525999999999993</v>
      </c>
      <c r="S30" s="32">
        <f t="shared" si="7"/>
        <v>240.05872778286883</v>
      </c>
      <c r="U30" s="32">
        <f t="shared" si="3"/>
        <v>1</v>
      </c>
      <c r="X30" s="30" t="str" cm="1">
        <f t="array" ref="X30">IF($AP$21="INVERT",R30,IF(X29&gt;=$S$12,"",IF(R29="","",INDEX($R$18:$R$227,$U$17-ROWS($R$18:$R29)))))</f>
        <v/>
      </c>
      <c r="Y30" s="30" t="str">
        <f t="shared" si="8"/>
        <v/>
      </c>
      <c r="Z30" s="30" t="str">
        <f>IF(Z29="","",IF($AP$21="TYP",IF(S29="","",INDEX($S$18:$S$227,$U$17-ROWS($S$18:$S29))),IF($AP$21="INVERT",S30,"")))</f>
        <v/>
      </c>
      <c r="AA30" s="75" t="str">
        <f t="shared" si="4"/>
        <v/>
      </c>
      <c r="AC30" s="35"/>
      <c r="AD30" s="35"/>
      <c r="AE30" s="35"/>
      <c r="AF30" s="35"/>
      <c r="AG30" s="198"/>
      <c r="AH30" s="202" t="s">
        <v>139</v>
      </c>
      <c r="AI30" s="201"/>
      <c r="AJ30" s="146"/>
      <c r="AK30" s="152">
        <f>INDEX($I$18:$I$200, MATCH(AK28, $H$18:$H$200, 0))</f>
        <v>5.9943999999999997</v>
      </c>
      <c r="AL30" s="152">
        <f>INDEX($K$18:$K$200, MATCH(AL28, $J$18:$J$200, 0))</f>
        <v>100.0254</v>
      </c>
      <c r="AM30" s="35"/>
    </row>
    <row r="31" spans="1:44" x14ac:dyDescent="0.2">
      <c r="A31" s="32">
        <f t="shared" si="1"/>
        <v>31</v>
      </c>
      <c r="C31" s="36">
        <f>IF(OR(C30&lt;30,C30=""),"",'Metric Calcs'!C27)</f>
        <v>1727.1999999999998</v>
      </c>
      <c r="D31" s="80">
        <f>IF(C31=0,"",'Metric Calcs'!D27)</f>
        <v>5.3852241257258716E-3</v>
      </c>
      <c r="E31" s="80">
        <f>IF(OR(E29=1,E29=""),"",IF('Metric Data'!$B$2,'Metric Calcs'!E27,'Metric Calcs'!F27))</f>
        <v>9.6029675775153569E-4</v>
      </c>
      <c r="F31" s="30">
        <f>IF(OR(F29=1,F29=""),"",IF('Metric Data'!$B$2,'Metric Calcs'!F27,'Metric Calcs'!H27))</f>
        <v>0.53852241257258715</v>
      </c>
      <c r="G31" s="30">
        <f>IF(OR(G29=1,G29=""),"",IF('Metric Data'!$B$2,'Metric Calcs'!G27,'Metric Calcs'!K27))</f>
        <v>9.6029675775153572E-3</v>
      </c>
      <c r="H31" s="30">
        <f>IF(OR(H29=1,H29=""),"",IF('Metric Data'!$B$2,'Metric Calcs'!H27,'Metric Calcs'!N27))</f>
        <v>5.775149847939959</v>
      </c>
      <c r="I31" s="30">
        <f>IF(OR(I29=1,I29=""),"",IF('Metric Data'!$B$2,'Metric Calcs'!K27,'Metric Calcs'!W27))</f>
        <v>6.3232752280900613</v>
      </c>
      <c r="J31" s="30">
        <f>IF('Metric Data'!$B$2,'Metric Calcs'!N27,"")</f>
        <v>713.09121500552158</v>
      </c>
      <c r="K31" s="30">
        <f>IF('Metric Data'!$B$2,'Metric Calcs'!W27,"")</f>
        <v>101.7272</v>
      </c>
      <c r="L31" s="37">
        <f>IF('Metric Data'!$B$2,J31,H31)</f>
        <v>713.09121500552158</v>
      </c>
      <c r="M31" s="112">
        <f>IF('Metric Data'!$B$2,K31,I31)</f>
        <v>101.7272</v>
      </c>
      <c r="O31" s="32">
        <f t="shared" si="2"/>
        <v>101.7272</v>
      </c>
      <c r="Q31" s="112">
        <f t="shared" si="5"/>
        <v>1.7271999999999992</v>
      </c>
      <c r="R31" s="32">
        <f t="shared" si="6"/>
        <v>1.7271999999999992</v>
      </c>
      <c r="S31" s="32">
        <f t="shared" si="7"/>
        <v>248.94784362568706</v>
      </c>
      <c r="U31" s="32">
        <f t="shared" si="3"/>
        <v>1</v>
      </c>
      <c r="X31" s="30" t="str" cm="1">
        <f t="array" ref="X31">IF($AP$21="INVERT",R31,IF(X30&gt;=$S$12,"",IF(R30="","",INDEX($R$18:$R$227,$U$17-ROWS($R$18:$R30)))))</f>
        <v/>
      </c>
      <c r="Y31" s="30" t="str">
        <f t="shared" si="8"/>
        <v/>
      </c>
      <c r="Z31" s="30" t="str">
        <f>IF(Z30="","",IF($AP$21="TYP",IF(S30="","",INDEX($S$18:$S$227,$U$17-ROWS($S$18:$S30))),IF($AP$21="INVERT",S31,"")))</f>
        <v/>
      </c>
      <c r="AA31" s="75" t="str">
        <f t="shared" si="4"/>
        <v/>
      </c>
      <c r="AC31" s="35"/>
      <c r="AD31" s="35"/>
      <c r="AE31" s="35"/>
      <c r="AF31" s="35"/>
      <c r="AG31" s="203"/>
      <c r="AH31" s="178" t="s">
        <v>151</v>
      </c>
      <c r="AI31" s="188"/>
      <c r="AJ31" s="146"/>
      <c r="AK31" s="152">
        <f>IFERROR(INDEX($I$18:$I$200, MATCH(AK29, $H$18:$H$200, 0)), MIN($I$18:$I$200)-25.4/1000)</f>
        <v>5.9689999999999994</v>
      </c>
      <c r="AL31" s="152">
        <f>IFERROR(INDEX($K$18:$K$200, MATCH(AL29, $J$18:$J$200, 0)), MIN($K$18:$K$200)-25.4/1000)</f>
        <v>100</v>
      </c>
      <c r="AM31" s="35"/>
    </row>
    <row r="32" spans="1:44" x14ac:dyDescent="0.2">
      <c r="A32" s="32">
        <f t="shared" si="1"/>
        <v>32</v>
      </c>
      <c r="C32" s="36">
        <f>IF(OR(C31&lt;30,C31=""),"",'Metric Calcs'!C28)</f>
        <v>1701.8</v>
      </c>
      <c r="D32" s="80">
        <f>IF(C32=0,"",'Metric Calcs'!D28)</f>
        <v>7.7921019396853817E-3</v>
      </c>
      <c r="E32" s="80">
        <f>IF(OR(E30=1,E30=""),"",IF('Metric Data'!$B$2,'Metric Calcs'!E28,'Metric Calcs'!F28))</f>
        <v>1.4661081693331439E-3</v>
      </c>
      <c r="F32" s="30">
        <f>IF(OR(F30=1,F30=""),"",IF('Metric Data'!$B$2,'Metric Calcs'!F28,'Metric Calcs'!H28))</f>
        <v>0.77921019396853819</v>
      </c>
      <c r="G32" s="30">
        <f>IF(OR(G30=1,G30=""),"",IF('Metric Data'!$B$2,'Metric Calcs'!G28,'Metric Calcs'!K28))</f>
        <v>1.4661081693331439E-2</v>
      </c>
      <c r="H32" s="30">
        <f>IF(OR(H30=1,H30=""),"",IF('Metric Data'!$B$2,'Metric Calcs'!H28,'Metric Calcs'!N28))</f>
        <v>5.6768514897352524</v>
      </c>
      <c r="I32" s="30">
        <f>IF(OR(I30=1,I30=""),"",IF('Metric Data'!$B$2,'Metric Calcs'!K28,'Metric Calcs'!W28))</f>
        <v>6.470722765397122</v>
      </c>
      <c r="J32" s="30">
        <f>IF('Metric Data'!$B$2,'Metric Calcs'!N28,"")</f>
        <v>706.76793977743148</v>
      </c>
      <c r="K32" s="30">
        <f>IF('Metric Data'!$B$2,'Metric Calcs'!W28,"")</f>
        <v>101.70180000000001</v>
      </c>
      <c r="L32" s="37">
        <f>IF('Metric Data'!$B$2,J32,H32)</f>
        <v>706.76793977743148</v>
      </c>
      <c r="M32" s="112">
        <f>IF('Metric Data'!$B$2,K32,I32)</f>
        <v>101.70180000000001</v>
      </c>
      <c r="O32" s="32">
        <f t="shared" si="2"/>
        <v>101.70180000000001</v>
      </c>
      <c r="Q32" s="112">
        <f t="shared" si="5"/>
        <v>1.7017999999999991</v>
      </c>
      <c r="R32" s="32">
        <f t="shared" si="6"/>
        <v>1.7017999999999991</v>
      </c>
      <c r="S32" s="32">
        <f t="shared" si="7"/>
        <v>254.75286477936623</v>
      </c>
      <c r="U32" s="32">
        <f t="shared" si="3"/>
        <v>1</v>
      </c>
      <c r="X32" s="30" t="str" cm="1">
        <f t="array" ref="X32">IF($AP$21="INVERT",R32,IF(X31&gt;=$S$12,"",IF(R31="","",INDEX($R$18:$R$227,$U$17-ROWS($R$18:$R31)))))</f>
        <v/>
      </c>
      <c r="Y32" s="30" t="str">
        <f t="shared" si="8"/>
        <v/>
      </c>
      <c r="Z32" s="30" t="str">
        <f>IF(Z31="","",IF($AP$21="TYP",IF(S31="","",INDEX($S$18:$S$227,$U$17-ROWS($S$18:$S31))),IF($AP$21="INVERT",S32,"")))</f>
        <v/>
      </c>
      <c r="AA32" s="75" t="str">
        <f t="shared" si="4"/>
        <v/>
      </c>
      <c r="AC32" s="35"/>
      <c r="AD32" s="35"/>
      <c r="AE32" s="35"/>
      <c r="AF32" s="35"/>
      <c r="AG32" s="203"/>
      <c r="AH32" s="145" t="s">
        <v>152</v>
      </c>
      <c r="AI32" s="190">
        <f>IFERROR(IF('Metric Data'!B2,AL42,AK42),"")</f>
        <v>0</v>
      </c>
      <c r="AJ32" s="146"/>
      <c r="AK32" s="143">
        <f>(((ROUND(AK28,2)-ROUND(AK29,2))/(ROUND(AK30,2)-ROUND(AK31,2)))*(ROUND(AK30,2)-$AI$24)-ROUND(AK28,2))*-1</f>
        <v>-1788.0149999999589</v>
      </c>
      <c r="AL32" s="143">
        <f>(((ROUND(AL28,2)-ROUND(AL29,2))/(ROUND(AL30,2)-ROUND(AL31,2)))*(ROUND(AL30,2)-$AI$24)-ROUND(AL28,2))*-1</f>
        <v>-19966.666666665908</v>
      </c>
      <c r="AM32" s="35"/>
    </row>
    <row r="33" spans="1:39" x14ac:dyDescent="0.2">
      <c r="A33" s="32">
        <f t="shared" si="1"/>
        <v>33</v>
      </c>
      <c r="C33" s="36">
        <f>IF(OR(C32&lt;30,C32=""),"",'Metric Calcs'!C29)</f>
        <v>1676.3999999999999</v>
      </c>
      <c r="D33" s="80">
        <f>IF(C33=0,"",'Metric Calcs'!D29)</f>
        <v>1.0116122893954676E-2</v>
      </c>
      <c r="E33" s="80">
        <f>IF(OR(E31=1,E31=""),"",IF('Metric Data'!$B$2,'Metric Calcs'!E29,'Metric Calcs'!F29))</f>
        <v>1.8688950870736228E-3</v>
      </c>
      <c r="F33" s="30">
        <f>IF(OR(F31=1,F31=""),"",IF('Metric Data'!$B$2,'Metric Calcs'!F29,'Metric Calcs'!H29))</f>
        <v>1.0116122893954675</v>
      </c>
      <c r="G33" s="30">
        <f>IF(OR(G31=1,G31=""),"",IF('Metric Data'!$B$2,'Metric Calcs'!G29,'Metric Calcs'!K29))</f>
        <v>1.8688950870736229E-2</v>
      </c>
      <c r="H33" s="30">
        <f>IF(OR(H31=1,H31=""),"",IF('Metric Data'!$B$2,'Metric Calcs'!H29,'Metric Calcs'!N29))</f>
        <v>5.5822795038935187</v>
      </c>
      <c r="I33" s="30">
        <f>IF(OR(I31=1,I31=""),"",IF('Metric Data'!$B$2,'Metric Calcs'!K29,'Metric Calcs'!W29))</f>
        <v>6.6125807441597217</v>
      </c>
      <c r="J33" s="30">
        <f>IF('Metric Data'!$B$2,'Metric Calcs'!N29,"")</f>
        <v>700.29721701203437</v>
      </c>
      <c r="K33" s="30">
        <f>IF('Metric Data'!$B$2,'Metric Calcs'!W29,"")</f>
        <v>101.6764</v>
      </c>
      <c r="L33" s="37">
        <f>IF('Metric Data'!$B$2,J33,H33)</f>
        <v>700.29721701203437</v>
      </c>
      <c r="M33" s="112">
        <f>IF('Metric Data'!$B$2,K33,I33)</f>
        <v>101.6764</v>
      </c>
      <c r="O33" s="32">
        <f t="shared" si="2"/>
        <v>101.6764</v>
      </c>
      <c r="Q33" s="112">
        <f t="shared" si="5"/>
        <v>1.676399999999999</v>
      </c>
      <c r="R33" s="32">
        <f t="shared" si="6"/>
        <v>1.676399999999999</v>
      </c>
      <c r="S33" s="32">
        <f t="shared" si="7"/>
        <v>260.33782457316727</v>
      </c>
      <c r="U33" s="32">
        <f t="shared" si="3"/>
        <v>1</v>
      </c>
      <c r="X33" s="30" t="str" cm="1">
        <f t="array" ref="X33">IF($AP$21="INVERT",R33,IF(X32&gt;=$S$12,"",IF(R32="","",INDEX($R$18:$R$227,$U$17-ROWS($R$18:$R32)))))</f>
        <v/>
      </c>
      <c r="Y33" s="30" t="str">
        <f t="shared" si="8"/>
        <v/>
      </c>
      <c r="Z33" s="30" t="str">
        <f>IF(Z32="","",IF($AP$21="TYP",IF(S32="","",INDEX($S$18:$S$227,$U$17-ROWS($S$18:$S32))),IF($AP$21="INVERT",S33,"")))</f>
        <v/>
      </c>
      <c r="AA33" s="75" t="str">
        <f t="shared" si="4"/>
        <v/>
      </c>
      <c r="AC33" s="35"/>
      <c r="AD33" s="35"/>
      <c r="AE33" s="35"/>
      <c r="AF33" s="35"/>
      <c r="AG33" s="203"/>
      <c r="AH33" s="145" t="s">
        <v>155</v>
      </c>
      <c r="AI33" s="185">
        <f>IFERROR(AI32+AI30,"")</f>
        <v>0</v>
      </c>
      <c r="AJ33" s="146"/>
      <c r="AK33" s="153">
        <f>ROUND(MAX(IFERROR(AK32,AK27),0),2)</f>
        <v>0</v>
      </c>
      <c r="AL33" s="153">
        <f>ROUND(MAX(IFERROR(AL32,AL27),0),2)</f>
        <v>0</v>
      </c>
      <c r="AM33" s="35"/>
    </row>
    <row r="34" spans="1:39" ht="13.5" thickBot="1" x14ac:dyDescent="0.25">
      <c r="A34" s="32">
        <f t="shared" si="1"/>
        <v>34</v>
      </c>
      <c r="C34" s="36">
        <f>IF(OR(C33&lt;30,C33=""),"",'Metric Calcs'!C30)</f>
        <v>1651</v>
      </c>
      <c r="D34" s="80">
        <f>IF(C34=0,"",'Metric Calcs'!D30)</f>
        <v>1.2980261645193192E-2</v>
      </c>
      <c r="E34" s="80">
        <f>IF(OR(E32=1,E32=""),"",IF('Metric Data'!$B$2,'Metric Calcs'!E30,'Metric Calcs'!F30))</f>
        <v>2.3522746708196959E-3</v>
      </c>
      <c r="F34" s="30">
        <f>IF(OR(F32=1,F32=""),"",IF('Metric Data'!$B$2,'Metric Calcs'!F30,'Metric Calcs'!H30))</f>
        <v>1.2980261645193192</v>
      </c>
      <c r="G34" s="30">
        <f>IF(OR(G32=1,G32=""),"",IF('Metric Data'!$B$2,'Metric Calcs'!G30,'Metric Calcs'!K30))</f>
        <v>2.352274670819696E-2</v>
      </c>
      <c r="H34" s="30">
        <f>IF(OR(H32=1,H32=""),"",IF('Metric Data'!$B$2,'Metric Calcs'!H30,'Metric Calcs'!N30))</f>
        <v>5.465780435508993</v>
      </c>
      <c r="I34" s="30">
        <f>IF(OR(I32=1,I32=""),"",IF('Metric Data'!$B$2,'Metric Calcs'!K30,'Metric Calcs'!W30))</f>
        <v>6.7873293467365095</v>
      </c>
      <c r="J34" s="30">
        <f>IF('Metric Data'!$B$2,'Metric Calcs'!N30,"")</f>
        <v>693.68463626787468</v>
      </c>
      <c r="K34" s="30">
        <f>IF('Metric Data'!$B$2,'Metric Calcs'!W30,"")</f>
        <v>101.651</v>
      </c>
      <c r="L34" s="37">
        <f>IF('Metric Data'!$B$2,J34,H34)</f>
        <v>693.68463626787468</v>
      </c>
      <c r="M34" s="112">
        <f>IF('Metric Data'!$B$2,K34,I34)</f>
        <v>101.651</v>
      </c>
      <c r="O34" s="32">
        <f t="shared" si="2"/>
        <v>101.651</v>
      </c>
      <c r="Q34" s="112">
        <f t="shared" si="5"/>
        <v>1.6509999999999989</v>
      </c>
      <c r="R34" s="32">
        <f t="shared" si="6"/>
        <v>1.6509999999999989</v>
      </c>
      <c r="S34" s="32">
        <f t="shared" si="7"/>
        <v>267.21769081649933</v>
      </c>
      <c r="U34" s="32">
        <f t="shared" si="3"/>
        <v>1</v>
      </c>
      <c r="X34" s="30" t="str" cm="1">
        <f t="array" ref="X34">IF($AP$21="INVERT",R34,IF(X33&gt;=$S$12,"",IF(R33="","",INDEX($R$18:$R$227,$U$17-ROWS($R$18:$R33)))))</f>
        <v/>
      </c>
      <c r="Y34" s="30" t="str">
        <f t="shared" si="8"/>
        <v/>
      </c>
      <c r="Z34" s="30" t="str">
        <f>IF(Z33="","",IF($AP$21="TYP",IF(S33="","",INDEX($S$18:$S$227,$U$17-ROWS($S$18:$S33))),IF($AP$21="INVERT",S34,"")))</f>
        <v/>
      </c>
      <c r="AA34" s="75" t="str">
        <f t="shared" si="4"/>
        <v/>
      </c>
      <c r="AC34" s="35"/>
      <c r="AD34" s="35"/>
      <c r="AE34" s="35"/>
      <c r="AF34" s="35"/>
      <c r="AG34" s="204" t="b">
        <v>0</v>
      </c>
      <c r="AH34" s="205" t="s">
        <v>156</v>
      </c>
      <c r="AI34" s="189" t="str">
        <f>IFERROR(ROUNDUP(IF('Metric Data'!B2,AL49,AK49),2),"")</f>
        <v/>
      </c>
      <c r="AJ34" s="88"/>
      <c r="AK34" s="133" t="s">
        <v>130</v>
      </c>
      <c r="AL34" s="134"/>
      <c r="AM34" s="35"/>
    </row>
    <row r="35" spans="1:39" x14ac:dyDescent="0.2">
      <c r="A35" s="32">
        <f t="shared" si="1"/>
        <v>35</v>
      </c>
      <c r="C35" s="36">
        <f>IF(OR(C34&lt;30,C34=""),"",'Metric Calcs'!C31)</f>
        <v>1625.6</v>
      </c>
      <c r="D35" s="80">
        <f>IF(C35=0,"",'Metric Calcs'!D31)</f>
        <v>2.1000672801925548E-2</v>
      </c>
      <c r="E35" s="80">
        <f>IF(OR(E33=1,E33=""),"",IF('Metric Data'!$B$2,'Metric Calcs'!E31,'Metric Calcs'!F31))</f>
        <v>2.9826640237858612E-3</v>
      </c>
      <c r="F35" s="30">
        <f>IF(OR(F33=1,F33=""),"",IF('Metric Data'!$B$2,'Metric Calcs'!F31,'Metric Calcs'!H31))</f>
        <v>2.1000672801925546</v>
      </c>
      <c r="G35" s="30">
        <f>IF(OR(G33=1,G33=""),"",IF('Metric Data'!$B$2,'Metric Calcs'!G31,'Metric Calcs'!K31))</f>
        <v>2.9826640237858613E-2</v>
      </c>
      <c r="H35" s="30">
        <f>IF(OR(H33=1,H33=""),"",IF('Metric Data'!$B$2,'Metric Calcs'!H31,'Metric Calcs'!N31))</f>
        <v>5.1424424318278348</v>
      </c>
      <c r="I35" s="30">
        <f>IF(OR(I33=1,I33=""),"",IF('Metric Data'!$B$2,'Metric Calcs'!K31,'Metric Calcs'!W31))</f>
        <v>7.2723363522582476</v>
      </c>
      <c r="J35" s="30">
        <f>IF('Metric Data'!$B$2,'Metric Calcs'!N31,"")</f>
        <v>686.89730692113812</v>
      </c>
      <c r="K35" s="30">
        <f>IF('Metric Data'!$B$2,'Metric Calcs'!W31,"")</f>
        <v>101.62560000000001</v>
      </c>
      <c r="L35" s="37">
        <f>IF('Metric Data'!$B$2,J35,H35)</f>
        <v>686.89730692113812</v>
      </c>
      <c r="M35" s="112">
        <f>IF('Metric Data'!$B$2,K35,I35)</f>
        <v>101.62560000000001</v>
      </c>
      <c r="O35" s="32">
        <f t="shared" si="2"/>
        <v>101.62560000000001</v>
      </c>
      <c r="Q35" s="112">
        <f t="shared" si="5"/>
        <v>1.6255999999999988</v>
      </c>
      <c r="R35" s="32">
        <f t="shared" si="6"/>
        <v>1.6255999999999988</v>
      </c>
      <c r="S35" s="32">
        <f t="shared" si="7"/>
        <v>286.3124548132617</v>
      </c>
      <c r="U35" s="32">
        <f t="shared" si="3"/>
        <v>1</v>
      </c>
      <c r="X35" s="30" t="str" cm="1">
        <f t="array" ref="X35">IF($AP$21="INVERT",R35,IF(X34&gt;=$S$12,"",IF(R34="","",INDEX($R$18:$R$227,$U$17-ROWS($R$18:$R34)))))</f>
        <v/>
      </c>
      <c r="Y35" s="30" t="str">
        <f t="shared" si="8"/>
        <v/>
      </c>
      <c r="Z35" s="30" t="str">
        <f>IF(Z34="","",IF($AP$21="TYP",IF(S34="","",INDEX($S$18:$S$227,$U$17-ROWS($S$18:$S34))),IF($AP$21="INVERT",S35,"")))</f>
        <v/>
      </c>
      <c r="AA35" s="75" t="str">
        <f t="shared" si="4"/>
        <v/>
      </c>
      <c r="AB35" s="75"/>
      <c r="AC35" s="35"/>
      <c r="AD35" s="35"/>
      <c r="AE35" s="35"/>
      <c r="AF35" s="35"/>
      <c r="AG35" s="35"/>
      <c r="AH35" s="88"/>
      <c r="AI35" s="88"/>
      <c r="AJ35" s="88"/>
      <c r="AK35" s="150" t="s">
        <v>126</v>
      </c>
      <c r="AL35" s="139" t="s">
        <v>127</v>
      </c>
      <c r="AM35" s="35"/>
    </row>
    <row r="36" spans="1:39" x14ac:dyDescent="0.2">
      <c r="A36" s="32">
        <f t="shared" si="1"/>
        <v>36</v>
      </c>
      <c r="C36" s="36">
        <f>IF(OR(C35&lt;30,C35=""),"",'Metric Calcs'!C32)</f>
        <v>1600.1999999999998</v>
      </c>
      <c r="D36" s="80">
        <f>IF(C36=0,"",'Metric Calcs'!D32)</f>
        <v>3.1045550899051057E-2</v>
      </c>
      <c r="E36" s="80">
        <f>IF(OR(E34=1,E34=""),"",IF('Metric Data'!$B$2,'Metric Calcs'!E32,'Metric Calcs'!F32))</f>
        <v>3.7492280900467295E-3</v>
      </c>
      <c r="F36" s="30">
        <f>IF(OR(F34=1,F34=""),"",IF('Metric Data'!$B$2,'Metric Calcs'!F32,'Metric Calcs'!H32))</f>
        <v>3.1045550899051055</v>
      </c>
      <c r="G36" s="30">
        <f>IF(OR(G34=1,G34=""),"",IF('Metric Data'!$B$2,'Metric Calcs'!G32,'Metric Calcs'!K32))</f>
        <v>3.7492280900467294E-2</v>
      </c>
      <c r="H36" s="30">
        <f>IF(OR(H34=1,H34=""),"",IF('Metric Data'!$B$2,'Metric Calcs'!H32,'Metric Calcs'!N32))</f>
        <v>4.737581051677771</v>
      </c>
      <c r="I36" s="30">
        <f>IF(OR(I34=1,I34=""),"",IF('Metric Data'!$B$2,'Metric Calcs'!K32,'Metric Calcs'!W32))</f>
        <v>7.8796284224833446</v>
      </c>
      <c r="J36" s="30">
        <f>IF('Metric Data'!$B$2,'Metric Calcs'!N32,"")</f>
        <v>679.62497056887992</v>
      </c>
      <c r="K36" s="30">
        <f>IF('Metric Data'!$B$2,'Metric Calcs'!W32,"")</f>
        <v>101.6002</v>
      </c>
      <c r="L36" s="37">
        <f>IF('Metric Data'!$B$2,J36,H36)</f>
        <v>679.62497056887992</v>
      </c>
      <c r="M36" s="112">
        <f>IF('Metric Data'!$B$2,K36,I36)</f>
        <v>101.6002</v>
      </c>
      <c r="O36" s="32">
        <f t="shared" si="2"/>
        <v>101.6002</v>
      </c>
      <c r="Q36" s="112">
        <f t="shared" si="5"/>
        <v>1.6001999999999987</v>
      </c>
      <c r="R36" s="32">
        <f t="shared" si="6"/>
        <v>1.6001999999999987</v>
      </c>
      <c r="S36" s="32">
        <f t="shared" si="7"/>
        <v>310.22159143629602</v>
      </c>
      <c r="U36" s="32">
        <f t="shared" si="3"/>
        <v>1</v>
      </c>
      <c r="X36" s="30" t="str" cm="1">
        <f t="array" ref="X36">IF($AP$21="INVERT",R36,IF(X35&gt;=$S$12,"",IF(R35="","",INDEX($R$18:$R$227,$U$17-ROWS($R$18:$R35)))))</f>
        <v/>
      </c>
      <c r="Y36" s="30" t="str">
        <f t="shared" si="8"/>
        <v/>
      </c>
      <c r="Z36" s="30" t="str">
        <f>IF(Z35="","",IF($AP$21="TYP",IF(S35="","",INDEX($S$18:$S$227,$U$17-ROWS($S$18:$S35))),IF($AP$21="INVERT",S36,"")))</f>
        <v/>
      </c>
      <c r="AA36" s="75" t="str">
        <f t="shared" si="4"/>
        <v/>
      </c>
      <c r="AB36" s="75"/>
      <c r="AC36" s="35"/>
      <c r="AD36" s="35"/>
      <c r="AE36" s="35"/>
      <c r="AF36" s="35"/>
      <c r="AG36" s="35"/>
      <c r="AH36" s="88"/>
      <c r="AI36" s="88"/>
      <c r="AJ36" s="88"/>
      <c r="AK36" s="154" t="e">
        <f>INDEX($H$18:$H$200, MATCH($AI$31, $I$18:$I$200, 0))</f>
        <v>#N/A</v>
      </c>
      <c r="AL36" s="154" t="e">
        <f>INDEX($J$18:$J$200, MATCH($AI$31, $K$18:$K$200, 0))</f>
        <v>#N/A</v>
      </c>
      <c r="AM36" s="35"/>
    </row>
    <row r="37" spans="1:39" x14ac:dyDescent="0.2">
      <c r="A37" s="32">
        <f t="shared" si="1"/>
        <v>37</v>
      </c>
      <c r="C37" s="36">
        <f>IF(OR(C36&lt;30,C36=""),"",'Metric Calcs'!C33)</f>
        <v>1574.8</v>
      </c>
      <c r="D37" s="80">
        <f>IF(C37=0,"",'Metric Calcs'!D33)</f>
        <v>3.7334957949880093E-2</v>
      </c>
      <c r="E37" s="80">
        <f>IF(OR(E35=1,E35=""),"",IF('Metric Data'!$B$2,'Metric Calcs'!E33,'Metric Calcs'!F33))</f>
        <v>4.5587149936288955E-3</v>
      </c>
      <c r="F37" s="30">
        <f>IF(OR(F35=1,F35=""),"",IF('Metric Data'!$B$2,'Metric Calcs'!F33,'Metric Calcs'!H33))</f>
        <v>3.7334957949880092</v>
      </c>
      <c r="G37" s="30">
        <f>IF(OR(G35=1,G35=""),"",IF('Metric Data'!$B$2,'Metric Calcs'!G33,'Metric Calcs'!K33))</f>
        <v>4.5587149936288957E-2</v>
      </c>
      <c r="H37" s="30">
        <f>IF(OR(H35=1,H35=""),"",IF('Metric Data'!$B$2,'Metric Calcs'!H33,'Metric Calcs'!N33))</f>
        <v>4.482766822030281</v>
      </c>
      <c r="I37" s="30">
        <f>IF(OR(I35=1,I35=""),"",IF('Metric Data'!$B$2,'Metric Calcs'!K33,'Metric Calcs'!W33))</f>
        <v>8.2618497669545796</v>
      </c>
      <c r="J37" s="30">
        <f>IF('Metric Data'!$B$2,'Metric Calcs'!N33,"")</f>
        <v>671.74534214639652</v>
      </c>
      <c r="K37" s="30">
        <f>IF('Metric Data'!$B$2,'Metric Calcs'!W33,"")</f>
        <v>101.5748</v>
      </c>
      <c r="L37" s="37">
        <f>IF('Metric Data'!$B$2,J37,H37)</f>
        <v>671.74534214639652</v>
      </c>
      <c r="M37" s="112">
        <f>IF('Metric Data'!$B$2,K37,I37)</f>
        <v>101.5748</v>
      </c>
      <c r="O37" s="32">
        <f t="shared" si="2"/>
        <v>101.5748</v>
      </c>
      <c r="Q37" s="112">
        <f t="shared" si="5"/>
        <v>1.5747999999999986</v>
      </c>
      <c r="R37" s="32">
        <f t="shared" si="6"/>
        <v>1.5747999999999986</v>
      </c>
      <c r="S37" s="32">
        <f t="shared" si="7"/>
        <v>325.26967586447478</v>
      </c>
      <c r="U37" s="32">
        <f t="shared" si="3"/>
        <v>1</v>
      </c>
      <c r="X37" s="30" t="str" cm="1">
        <f t="array" ref="X37">IF($AP$21="INVERT",R37,IF(X36&gt;=$S$12,"",IF(R36="","",INDEX($R$18:$R$227,$U$17-ROWS($R$18:$R36)))))</f>
        <v/>
      </c>
      <c r="Y37" s="30" t="str">
        <f t="shared" si="8"/>
        <v/>
      </c>
      <c r="Z37" s="30" t="str">
        <f>IF(Z36="","",IF($AP$21="TYP",IF(S36="","",INDEX($S$18:$S$227,$U$17-ROWS($S$18:$S36))),IF($AP$21="INVERT",S37,"")))</f>
        <v/>
      </c>
      <c r="AA37" s="75" t="str">
        <f t="shared" si="4"/>
        <v/>
      </c>
      <c r="AB37" s="75"/>
      <c r="AC37" s="35"/>
      <c r="AD37" s="35"/>
      <c r="AE37" s="35"/>
      <c r="AF37" s="35"/>
      <c r="AG37" s="35"/>
      <c r="AH37" s="88"/>
      <c r="AI37" s="88"/>
      <c r="AJ37" s="88"/>
      <c r="AK37" s="153">
        <f>INDEX($H$18:$H$200, MATCH($AI$31, $I$18:$I$200, -1))</f>
        <v>5.9943999999999997</v>
      </c>
      <c r="AL37" s="153">
        <f>INDEX($J$18:$J$200, MATCH($AI$31, $K$18:$K$200, -1))</f>
        <v>5.9943999999999997</v>
      </c>
      <c r="AM37" s="35"/>
    </row>
    <row r="38" spans="1:39" x14ac:dyDescent="0.2">
      <c r="A38" s="32">
        <f t="shared" si="1"/>
        <v>38</v>
      </c>
      <c r="C38" s="36">
        <f>IF(OR(C37&lt;30,C37=""),"",'Metric Calcs'!C34)</f>
        <v>1549.3999999999999</v>
      </c>
      <c r="D38" s="80">
        <f>IF(C38=0,"",'Metric Calcs'!D34)</f>
        <v>4.2424797394874092E-2</v>
      </c>
      <c r="E38" s="80">
        <f>IF(OR(E36=1,E36=""),"",IF('Metric Data'!$B$2,'Metric Calcs'!E34,'Metric Calcs'!F34))</f>
        <v>5.3430046722354567E-3</v>
      </c>
      <c r="F38" s="30">
        <f>IF(OR(F36=1,F36=""),"",IF('Metric Data'!$B$2,'Metric Calcs'!F34,'Metric Calcs'!H34))</f>
        <v>4.2424797394874094</v>
      </c>
      <c r="G38" s="30">
        <f>IF(OR(G36=1,G36=""),"",IF('Metric Data'!$B$2,'Metric Calcs'!G34,'Metric Calcs'!K34))</f>
        <v>5.3430046722354567E-2</v>
      </c>
      <c r="H38" s="30">
        <f>IF(OR(H36=1,H36=""),"",IF('Metric Data'!$B$2,'Metric Calcs'!H34,'Metric Calcs'!N34))</f>
        <v>4.2760360855160942</v>
      </c>
      <c r="I38" s="30">
        <f>IF(OR(I36=1,I36=""),"",IF('Metric Data'!$B$2,'Metric Calcs'!K34,'Metric Calcs'!W34))</f>
        <v>8.571945871725859</v>
      </c>
      <c r="J38" s="30">
        <f>IF('Metric Data'!$B$2,'Metric Calcs'!N34,"")</f>
        <v>663.48349237944194</v>
      </c>
      <c r="K38" s="30">
        <f>IF('Metric Data'!$B$2,'Metric Calcs'!W34,"")</f>
        <v>101.54940000000001</v>
      </c>
      <c r="L38" s="37">
        <f>IF('Metric Data'!$B$2,J38,H38)</f>
        <v>663.48349237944194</v>
      </c>
      <c r="M38" s="112">
        <f>IF('Metric Data'!$B$2,K38,I38)</f>
        <v>101.54940000000001</v>
      </c>
      <c r="O38" s="32">
        <f t="shared" si="2"/>
        <v>101.54940000000001</v>
      </c>
      <c r="Q38" s="112">
        <f t="shared" si="5"/>
        <v>1.5493999999999986</v>
      </c>
      <c r="R38" s="32">
        <f t="shared" si="6"/>
        <v>1.5493999999999986</v>
      </c>
      <c r="S38" s="32">
        <f t="shared" si="7"/>
        <v>337.47818392614954</v>
      </c>
      <c r="U38" s="32">
        <f t="shared" si="3"/>
        <v>1</v>
      </c>
      <c r="X38" s="30" t="str" cm="1">
        <f t="array" ref="X38">IF($AP$21="INVERT",R38,IF(X37&gt;=$S$12,"",IF(R37="","",INDEX($R$18:$R$227,$U$17-ROWS($R$18:$R37)))))</f>
        <v/>
      </c>
      <c r="Y38" s="30" t="str">
        <f t="shared" si="8"/>
        <v/>
      </c>
      <c r="Z38" s="30" t="str">
        <f>IF(Z37="","",IF($AP$21="TYP",IF(S37="","",INDEX($S$18:$S$227,$U$17-ROWS($S$18:$S37))),IF($AP$21="INVERT",S38,"")))</f>
        <v/>
      </c>
      <c r="AA38" s="75" t="str">
        <f t="shared" si="4"/>
        <v/>
      </c>
      <c r="AB38" s="75"/>
      <c r="AC38" s="35"/>
      <c r="AD38" s="35"/>
      <c r="AE38" s="35"/>
      <c r="AF38" s="35"/>
      <c r="AG38" s="35"/>
      <c r="AH38" s="88"/>
      <c r="AI38" s="88"/>
      <c r="AJ38" s="88"/>
      <c r="AK38" s="153" cm="1">
        <f t="array" ref="AK38">IF(INDEX($H$18:$H$200, MATCH($AI$31, $I$18:$I$200, -1)+1)="",0,INDEX($H$18:$H$200, MATCH($AI$31, $I$18:$I$200, -1)+1))</f>
        <v>0</v>
      </c>
      <c r="AL38" s="153" cm="1">
        <f t="array" ref="AL38">IF(INDEX($J$18:$J$200, MATCH($AI$31, $K$18:$K$200, -1)+1)="",0,INDEX($J$18:$J$200, MATCH($AI$31, $K$18:$K$200, -1)+1))</f>
        <v>0</v>
      </c>
      <c r="AM38" s="35"/>
    </row>
    <row r="39" spans="1:39" x14ac:dyDescent="0.2">
      <c r="A39" s="32">
        <f t="shared" si="1"/>
        <v>39</v>
      </c>
      <c r="C39" s="36">
        <f>IF(OR(C38&lt;30,C38=""),"",'Metric Calcs'!C35)</f>
        <v>1524</v>
      </c>
      <c r="D39" s="80">
        <f>IF(C39=0,"",'Metric Calcs'!D35)</f>
        <v>4.6849492566898403E-2</v>
      </c>
      <c r="E39" s="80">
        <f>IF(OR(E37=1,E37=""),"",IF('Metric Data'!$B$2,'Metric Calcs'!E35,'Metric Calcs'!F35))</f>
        <v>6.1878889990090091E-3</v>
      </c>
      <c r="F39" s="30">
        <f>IF(OR(F37=1,F37=""),"",IF('Metric Data'!$B$2,'Metric Calcs'!F35,'Metric Calcs'!H35))</f>
        <v>4.6849492566898405</v>
      </c>
      <c r="G39" s="30">
        <f>IF(OR(G37=1,G37=""),"",IF('Metric Data'!$B$2,'Metric Calcs'!G35,'Metric Calcs'!K35))</f>
        <v>6.1878889990090093E-2</v>
      </c>
      <c r="H39" s="30">
        <f>IF(OR(H37=1,H37=""),"",IF('Metric Data'!$B$2,'Metric Calcs'!H35,'Metric Calcs'!N35))</f>
        <v>4.0956687413280282</v>
      </c>
      <c r="I39" s="30">
        <f>IF(OR(I37=1,I37=""),"",IF('Metric Data'!$B$2,'Metric Calcs'!K35,'Metric Calcs'!W35))</f>
        <v>8.8424968880079593</v>
      </c>
      <c r="J39" s="30">
        <f>IF('Metric Data'!$B$2,'Metric Calcs'!N35,"")</f>
        <v>654.91154650771614</v>
      </c>
      <c r="K39" s="30">
        <f>IF('Metric Data'!$B$2,'Metric Calcs'!W35,"")</f>
        <v>101.524</v>
      </c>
      <c r="L39" s="37">
        <f>IF('Metric Data'!$B$2,J39,H39)</f>
        <v>654.91154650771614</v>
      </c>
      <c r="M39" s="112">
        <f>IF('Metric Data'!$B$2,K39,I39)</f>
        <v>101.524</v>
      </c>
      <c r="O39" s="32">
        <f t="shared" si="2"/>
        <v>101.524</v>
      </c>
      <c r="Q39" s="112">
        <f t="shared" si="5"/>
        <v>1.5239999999999985</v>
      </c>
      <c r="R39" s="32">
        <f t="shared" si="6"/>
        <v>1.5239999999999985</v>
      </c>
      <c r="S39" s="32">
        <f t="shared" si="7"/>
        <v>348.12979874040678</v>
      </c>
      <c r="U39" s="32">
        <f t="shared" si="3"/>
        <v>1</v>
      </c>
      <c r="X39" s="30" t="str" cm="1">
        <f t="array" ref="X39">IF($AP$21="INVERT",R39,IF(X38&gt;=$S$12,"",IF(R38="","",INDEX($R$18:$R$227,$U$17-ROWS($R$18:$R38)))))</f>
        <v/>
      </c>
      <c r="Y39" s="30" t="str">
        <f t="shared" si="8"/>
        <v/>
      </c>
      <c r="Z39" s="30" t="str">
        <f>IF(Z38="","",IF($AP$21="TYP",IF(S38="","",INDEX($S$18:$S$227,$U$17-ROWS($S$18:$S38))),IF($AP$21="INVERT",S39,"")))</f>
        <v/>
      </c>
      <c r="AA39" s="75" t="str">
        <f t="shared" si="4"/>
        <v/>
      </c>
      <c r="AB39" s="75"/>
      <c r="AC39" s="35"/>
      <c r="AD39" s="35"/>
      <c r="AE39" s="35"/>
      <c r="AF39" s="35"/>
      <c r="AG39" s="35"/>
      <c r="AH39" s="88"/>
      <c r="AI39" s="88"/>
      <c r="AJ39" s="88"/>
      <c r="AK39" s="153">
        <f>INDEX($I$18:$I$200, MATCH(AK37, $H$18:$H$200, 0))</f>
        <v>5.9943999999999997</v>
      </c>
      <c r="AL39" s="153">
        <f>INDEX($K$18:$K$200, MATCH(AL37, $J$18:$J$200, 0))</f>
        <v>100.0254</v>
      </c>
      <c r="AM39" s="35"/>
    </row>
    <row r="40" spans="1:39" x14ac:dyDescent="0.2">
      <c r="A40" s="32">
        <f t="shared" si="1"/>
        <v>40</v>
      </c>
      <c r="C40" s="36">
        <f>IF(OR(C39&lt;30,C39=""),"",'Metric Calcs'!C36)</f>
        <v>1498.6</v>
      </c>
      <c r="D40" s="80">
        <f>IF(C40=0,"",'Metric Calcs'!D36)</f>
        <v>5.0798968143848329E-2</v>
      </c>
      <c r="E40" s="80">
        <f>IF(OR(E38=1,E38=""),"",IF('Metric Data'!$B$2,'Metric Calcs'!E36,'Metric Calcs'!F36))</f>
        <v>6.9923460285996625E-3</v>
      </c>
      <c r="F40" s="30">
        <f>IF(OR(F38=1,F38=""),"",IF('Metric Data'!$B$2,'Metric Calcs'!F36,'Metric Calcs'!H36))</f>
        <v>5.0798968143848331</v>
      </c>
      <c r="G40" s="30">
        <f>IF(OR(G38=1,G38=""),"",IF('Metric Data'!$B$2,'Metric Calcs'!G36,'Metric Calcs'!K36))</f>
        <v>6.9923460285996622E-2</v>
      </c>
      <c r="H40" s="30">
        <f>IF(OR(H38=1,H38=""),"",IF('Metric Data'!$B$2,'Metric Calcs'!H36,'Metric Calcs'!N36))</f>
        <v>3.9344718901316678</v>
      </c>
      <c r="I40" s="30">
        <f>IF(OR(I38=1,I38=""),"",IF('Metric Data'!$B$2,'Metric Calcs'!K36,'Metric Calcs'!W36))</f>
        <v>9.0842921648024983</v>
      </c>
      <c r="J40" s="30">
        <f>IF('Metric Data'!$B$2,'Metric Calcs'!N36,"")</f>
        <v>646.06904961970815</v>
      </c>
      <c r="K40" s="30">
        <f>IF('Metric Data'!$B$2,'Metric Calcs'!W36,"")</f>
        <v>101.4986</v>
      </c>
      <c r="L40" s="37">
        <f>IF('Metric Data'!$B$2,J40,H40)</f>
        <v>646.06904961970815</v>
      </c>
      <c r="M40" s="112">
        <f>IF('Metric Data'!$B$2,K40,I40)</f>
        <v>101.4986</v>
      </c>
      <c r="O40" s="32">
        <f t="shared" si="2"/>
        <v>101.4986</v>
      </c>
      <c r="Q40" s="112">
        <f t="shared" si="5"/>
        <v>1.4985999999999984</v>
      </c>
      <c r="R40" s="32">
        <f t="shared" si="6"/>
        <v>1.4985999999999984</v>
      </c>
      <c r="S40" s="32">
        <f t="shared" si="7"/>
        <v>357.6492978270029</v>
      </c>
      <c r="U40" s="32">
        <f t="shared" si="3"/>
        <v>1</v>
      </c>
      <c r="X40" s="30" t="str" cm="1">
        <f t="array" ref="X40">IF($AP$21="INVERT",R40,IF(X39&gt;=$S$12,"",IF(R39="","",INDEX($R$18:$R$227,$U$17-ROWS($R$18:$R39)))))</f>
        <v/>
      </c>
      <c r="Y40" s="30" t="str">
        <f t="shared" si="8"/>
        <v/>
      </c>
      <c r="Z40" s="30" t="str">
        <f>IF(Z39="","",IF($AP$21="TYP",IF(S39="","",INDEX($S$18:$S$227,$U$17-ROWS($S$18:$S39))),IF($AP$21="INVERT",S40,"")))</f>
        <v/>
      </c>
      <c r="AA40" s="75" t="str">
        <f t="shared" si="4"/>
        <v/>
      </c>
      <c r="AB40" s="75"/>
      <c r="AC40" s="35"/>
      <c r="AD40" s="35"/>
      <c r="AE40" s="35"/>
      <c r="AF40" s="35"/>
      <c r="AG40" s="35"/>
      <c r="AH40" s="88"/>
      <c r="AI40" s="88"/>
      <c r="AJ40" s="88"/>
      <c r="AK40" s="135">
        <f>IFERROR(INDEX($I$18:$I$200, MATCH(AK38, $H$18:$H$200, 0)), MIN($I$18:$I$200) - 25.4/1000)</f>
        <v>5.9689999999999994</v>
      </c>
      <c r="AL40" s="135">
        <f>IFERROR(INDEX($K$18:$K$200, MATCH(AL38, $J$18:$J$200, 0)), MIN($K$18:$K$200)-25.4/1000)</f>
        <v>100</v>
      </c>
      <c r="AM40" s="35"/>
    </row>
    <row r="41" spans="1:39" x14ac:dyDescent="0.2">
      <c r="A41" s="32">
        <f t="shared" si="1"/>
        <v>41</v>
      </c>
      <c r="C41" s="36">
        <f>IF(OR(C40&lt;30,C40=""),"",'Metric Calcs'!C37)</f>
        <v>1473.1999999999998</v>
      </c>
      <c r="D41" s="80">
        <f>IF(C41=0,"",'Metric Calcs'!D37)</f>
        <v>5.4358033979894797E-2</v>
      </c>
      <c r="E41" s="80">
        <f>IF(OR(E39=1,E39=""),"",IF('Metric Data'!$B$2,'Metric Calcs'!E37,'Metric Calcs'!F37))</f>
        <v>7.7950601727311353E-3</v>
      </c>
      <c r="F41" s="30">
        <f>IF(OR(F39=1,F39=""),"",IF('Metric Data'!$B$2,'Metric Calcs'!F37,'Metric Calcs'!H37))</f>
        <v>5.4358033979894795</v>
      </c>
      <c r="G41" s="30">
        <f>IF(OR(G39=1,G39=""),"",IF('Metric Data'!$B$2,'Metric Calcs'!G37,'Metric Calcs'!K37))</f>
        <v>7.7950601727311358E-2</v>
      </c>
      <c r="H41" s="30">
        <f>IF(OR(H39=1,H39=""),"",IF('Metric Data'!$B$2,'Metric Calcs'!H37,'Metric Calcs'!N37))</f>
        <v>3.7888984001132835</v>
      </c>
      <c r="I41" s="30">
        <f>IF(OR(I39=1,I39=""),"",IF('Metric Data'!$B$2,'Metric Calcs'!K37,'Metric Calcs'!W37))</f>
        <v>9.302652399830075</v>
      </c>
      <c r="J41" s="30">
        <f>IF('Metric Data'!$B$2,'Metric Calcs'!N37,"")</f>
        <v>636.98475745490566</v>
      </c>
      <c r="K41" s="30">
        <f>IF('Metric Data'!$B$2,'Metric Calcs'!W37,"")</f>
        <v>101.47320000000001</v>
      </c>
      <c r="L41" s="37">
        <f>IF('Metric Data'!$B$2,J41,H41)</f>
        <v>636.98475745490566</v>
      </c>
      <c r="M41" s="112">
        <f>IF('Metric Data'!$B$2,K41,I41)</f>
        <v>101.47320000000001</v>
      </c>
      <c r="O41" s="32">
        <f t="shared" si="2"/>
        <v>101.47320000000001</v>
      </c>
      <c r="Q41" s="112">
        <f t="shared" si="5"/>
        <v>1.4731999999999983</v>
      </c>
      <c r="R41" s="32">
        <f t="shared" si="6"/>
        <v>1.4731999999999983</v>
      </c>
      <c r="S41" s="32">
        <f t="shared" si="7"/>
        <v>366.24615747355722</v>
      </c>
      <c r="U41" s="32">
        <f t="shared" si="3"/>
        <v>1</v>
      </c>
      <c r="X41" s="30" t="str" cm="1">
        <f t="array" ref="X41">IF($AP$21="INVERT",R41,IF(X40&gt;=$S$12,"",IF(R40="","",INDEX($R$18:$R$227,$U$17-ROWS($R$18:$R40)))))</f>
        <v/>
      </c>
      <c r="Y41" s="30" t="str">
        <f t="shared" si="8"/>
        <v/>
      </c>
      <c r="Z41" s="30" t="str">
        <f>IF(Z40="","",IF($AP$21="TYP",IF(S40="","",INDEX($S$18:$S$227,$U$17-ROWS($S$18:$S40))),IF($AP$21="INVERT",S41,"")))</f>
        <v/>
      </c>
      <c r="AA41" s="75" t="str">
        <f t="shared" si="4"/>
        <v/>
      </c>
      <c r="AB41" s="75"/>
      <c r="AC41" s="35"/>
      <c r="AD41" s="35"/>
      <c r="AE41" s="35"/>
      <c r="AF41" s="35"/>
      <c r="AG41" s="35"/>
      <c r="AH41" s="88"/>
      <c r="AI41" s="88"/>
      <c r="AJ41" s="88"/>
      <c r="AK41" s="143">
        <f>(((ROUND(AK37,2)-ROUND(AK38,2))/(ROUND(AK39,2)-ROUND(AK40,2)))*(ROUND(AK39,2)-$AI$31)-ROUND(AK37,2))*-1</f>
        <v>-1788.0149999999589</v>
      </c>
      <c r="AL41" s="143">
        <f>(((ROUND(AL37,2)-ROUND(AL38,2))/(ROUND(AL39,2)-ROUND(AL40,2)))*(ROUND(AL39,2)-$AI$31)-ROUND(AL37,2))*-1</f>
        <v>-19966.666666665908</v>
      </c>
      <c r="AM41" s="35"/>
    </row>
    <row r="42" spans="1:39" x14ac:dyDescent="0.2">
      <c r="A42" s="32">
        <f t="shared" si="1"/>
        <v>42</v>
      </c>
      <c r="C42" s="36">
        <f>IF(OR(C41&lt;30,C41=""),"",'Metric Calcs'!C38)</f>
        <v>1447.8</v>
      </c>
      <c r="D42" s="80">
        <f>IF(C42=0,"",'Metric Calcs'!D38)</f>
        <v>5.7693239699844821E-2</v>
      </c>
      <c r="E42" s="80">
        <f>IF(OR(E40=1,E40=""),"",IF('Metric Data'!$B$2,'Metric Calcs'!E38,'Metric Calcs'!F38))</f>
        <v>8.547170041059109E-3</v>
      </c>
      <c r="F42" s="30">
        <f>IF(OR(F40=1,F40=""),"",IF('Metric Data'!$B$2,'Metric Calcs'!F38,'Metric Calcs'!H38))</f>
        <v>5.769323969984482</v>
      </c>
      <c r="G42" s="30">
        <f>IF(OR(G40=1,G40=""),"",IF('Metric Data'!$B$2,'Metric Calcs'!G38,'Metric Calcs'!K38))</f>
        <v>8.5471700410591087E-2</v>
      </c>
      <c r="H42" s="30">
        <f>IF(OR(H40=1,H40=""),"",IF('Metric Data'!$B$2,'Metric Calcs'!H38,'Metric Calcs'!N38))</f>
        <v>3.6524817318419709</v>
      </c>
      <c r="I42" s="30">
        <f>IF(OR(I40=1,I40=""),"",IF('Metric Data'!$B$2,'Metric Calcs'!K38,'Metric Calcs'!W38))</f>
        <v>9.5072774022370456</v>
      </c>
      <c r="J42" s="30">
        <f>IF('Metric Data'!$B$2,'Metric Calcs'!N38,"")</f>
        <v>627.68210505507557</v>
      </c>
      <c r="K42" s="30">
        <f>IF('Metric Data'!$B$2,'Metric Calcs'!W38,"")</f>
        <v>101.4478</v>
      </c>
      <c r="L42" s="37">
        <f>IF('Metric Data'!$B$2,J42,H42)</f>
        <v>627.68210505507557</v>
      </c>
      <c r="M42" s="112">
        <f>IF('Metric Data'!$B$2,K42,I42)</f>
        <v>101.4478</v>
      </c>
      <c r="O42" s="32">
        <f t="shared" si="2"/>
        <v>101.4478</v>
      </c>
      <c r="Q42" s="112">
        <f t="shared" si="5"/>
        <v>1.4477999999999982</v>
      </c>
      <c r="R42" s="32">
        <f t="shared" si="6"/>
        <v>1.4477999999999982</v>
      </c>
      <c r="S42" s="32">
        <f t="shared" si="7"/>
        <v>374.30225993052198</v>
      </c>
      <c r="U42" s="32">
        <f t="shared" si="3"/>
        <v>1</v>
      </c>
      <c r="X42" s="30" t="str" cm="1">
        <f t="array" ref="X42">IF($AP$21="INVERT",R42,IF(X41&gt;=$S$12,"",IF(R41="","",INDEX($R$18:$R$227,$U$17-ROWS($R$18:$R41)))))</f>
        <v/>
      </c>
      <c r="Y42" s="30" t="str">
        <f t="shared" si="8"/>
        <v/>
      </c>
      <c r="Z42" s="30" t="str">
        <f>IF(Z41="","",IF($AP$21="TYP",IF(S41="","",INDEX($S$18:$S$227,$U$17-ROWS($S$18:$S41))),IF($AP$21="INVERT",S42,"")))</f>
        <v/>
      </c>
      <c r="AA42" s="75" t="str">
        <f t="shared" si="4"/>
        <v/>
      </c>
      <c r="AB42" s="75"/>
      <c r="AC42" s="35"/>
      <c r="AD42" s="35"/>
      <c r="AE42" s="35"/>
      <c r="AF42" s="35"/>
      <c r="AG42" s="35"/>
      <c r="AH42" s="88"/>
      <c r="AI42" s="88"/>
      <c r="AJ42" s="88"/>
      <c r="AK42" s="136">
        <f>ROUND(MAX(IFERROR(AK41,AK36),0),2)</f>
        <v>0</v>
      </c>
      <c r="AL42" s="136">
        <f>ROUND(MAX(IFERROR(AL41,AL36),0),2)</f>
        <v>0</v>
      </c>
      <c r="AM42" s="35"/>
    </row>
    <row r="43" spans="1:39" x14ac:dyDescent="0.2">
      <c r="A43" s="32">
        <f t="shared" si="1"/>
        <v>43</v>
      </c>
      <c r="C43" s="36">
        <f>IF(OR(C42&lt;30,C42=""),"",'Metric Calcs'!C39)</f>
        <v>1422.3999999999999</v>
      </c>
      <c r="D43" s="80">
        <f>IF(C43=0,"",'Metric Calcs'!D39)</f>
        <v>6.0748314030864448E-2</v>
      </c>
      <c r="E43" s="80">
        <f>IF(OR(E41=1,E41=""),"",IF('Metric Data'!$B$2,'Metric Calcs'!E39,'Metric Calcs'!F39))</f>
        <v>9.2738385954977461E-3</v>
      </c>
      <c r="F43" s="30">
        <f>IF(OR(F41=1,F41=""),"",IF('Metric Data'!$B$2,'Metric Calcs'!F39,'Metric Calcs'!H39))</f>
        <v>6.0748314030864448</v>
      </c>
      <c r="G43" s="30">
        <f>IF(OR(G41=1,G41=""),"",IF('Metric Data'!$B$2,'Metric Calcs'!G39,'Metric Calcs'!K39))</f>
        <v>9.2738385954977465E-2</v>
      </c>
      <c r="H43" s="30">
        <f>IF(OR(H41=1,H41=""),"",IF('Metric Data'!$B$2,'Metric Calcs'!H39,'Metric Calcs'!N39))</f>
        <v>3.5273720843834315</v>
      </c>
      <c r="I43" s="30">
        <f>IF(OR(I41=1,I41=""),"",IF('Metric Data'!$B$2,'Metric Calcs'!K39,'Metric Calcs'!W39))</f>
        <v>9.6949418734248525</v>
      </c>
      <c r="J43" s="30">
        <f>IF('Metric Data'!$B$2,'Metric Calcs'!N39,"")</f>
        <v>618.17482765283853</v>
      </c>
      <c r="K43" s="30">
        <f>IF('Metric Data'!$B$2,'Metric Calcs'!W39,"")</f>
        <v>101.4224</v>
      </c>
      <c r="L43" s="37">
        <f>IF('Metric Data'!$B$2,J43,H43)</f>
        <v>618.17482765283853</v>
      </c>
      <c r="M43" s="112">
        <f>IF('Metric Data'!$B$2,K43,I43)</f>
        <v>101.4224</v>
      </c>
      <c r="O43" s="32">
        <f t="shared" si="2"/>
        <v>101.4224</v>
      </c>
      <c r="Q43" s="112">
        <f t="shared" si="5"/>
        <v>1.4223999999999981</v>
      </c>
      <c r="R43" s="32">
        <f t="shared" si="6"/>
        <v>1.4223999999999981</v>
      </c>
      <c r="S43" s="32">
        <f t="shared" si="7"/>
        <v>381.69062493812623</v>
      </c>
      <c r="U43" s="32">
        <f t="shared" si="3"/>
        <v>1</v>
      </c>
      <c r="X43" s="30" t="str" cm="1">
        <f t="array" ref="X43">IF($AP$21="INVERT",R43,IF(X42&gt;=$S$12,"",IF(R42="","",INDEX($R$18:$R$227,$U$17-ROWS($R$18:$R42)))))</f>
        <v/>
      </c>
      <c r="Y43" s="30" t="str">
        <f t="shared" si="8"/>
        <v/>
      </c>
      <c r="Z43" s="30" t="str">
        <f>IF(Z42="","",IF($AP$21="TYP",IF(S42="","",INDEX($S$18:$S$227,$U$17-ROWS($S$18:$S42))),IF($AP$21="INVERT",S43,"")))</f>
        <v/>
      </c>
      <c r="AA43" s="75" t="str">
        <f t="shared" si="4"/>
        <v/>
      </c>
      <c r="AB43" s="75"/>
      <c r="AC43" s="35"/>
      <c r="AD43" s="35"/>
      <c r="AE43" s="35"/>
      <c r="AF43" s="35"/>
      <c r="AG43" s="35"/>
      <c r="AH43" s="88"/>
      <c r="AI43" s="88"/>
      <c r="AJ43" s="88"/>
      <c r="AK43" s="154" t="e">
        <f>INDEX($I$18:$I$200, MATCH($AI$33, $H$18:$H$200, 0))</f>
        <v>#N/A</v>
      </c>
      <c r="AL43" s="154" t="e">
        <f>INDEX($K$18:$K$200, MATCH($AI$33, $J$18:$J$200, 0))</f>
        <v>#N/A</v>
      </c>
      <c r="AM43" s="35"/>
    </row>
    <row r="44" spans="1:39" x14ac:dyDescent="0.2">
      <c r="A44" s="32">
        <f t="shared" si="1"/>
        <v>44</v>
      </c>
      <c r="C44" s="36">
        <f>IF(OR(C43&lt;30,C43=""),"",'Metric Calcs'!C40)</f>
        <v>1397</v>
      </c>
      <c r="D44" s="80">
        <f>IF(C44=0,"",'Metric Calcs'!D40)</f>
        <v>6.3647104629761156E-2</v>
      </c>
      <c r="E44" s="80">
        <f>IF(OR(E42=1,E42=""),"",IF('Metric Data'!$B$2,'Metric Calcs'!E40,'Metric Calcs'!F40))</f>
        <v>1.0038376044173736E-2</v>
      </c>
      <c r="F44" s="30">
        <f>IF(OR(F42=1,F42=""),"",IF('Metric Data'!$B$2,'Metric Calcs'!F40,'Metric Calcs'!H40))</f>
        <v>6.3647104629761158</v>
      </c>
      <c r="G44" s="30">
        <f>IF(OR(G42=1,G42=""),"",IF('Metric Data'!$B$2,'Metric Calcs'!G40,'Metric Calcs'!K40))</f>
        <v>0.10038376044173736</v>
      </c>
      <c r="H44" s="30">
        <f>IF(OR(H42=1,H42=""),"",IF('Metric Data'!$B$2,'Metric Calcs'!H40,'Metric Calcs'!N40))</f>
        <v>3.4083623106328589</v>
      </c>
      <c r="I44" s="30">
        <f>IF(OR(I42=1,I42=""),"",IF('Metric Data'!$B$2,'Metric Calcs'!K40,'Metric Calcs'!W40))</f>
        <v>9.8734565340507121</v>
      </c>
      <c r="J44" s="30">
        <f>IF('Metric Data'!$B$2,'Metric Calcs'!N40,"")</f>
        <v>608.47988577941373</v>
      </c>
      <c r="K44" s="30">
        <f>IF('Metric Data'!$B$2,'Metric Calcs'!W40,"")</f>
        <v>101.39700000000001</v>
      </c>
      <c r="L44" s="37">
        <f>IF('Metric Data'!$B$2,J44,H44)</f>
        <v>608.47988577941373</v>
      </c>
      <c r="M44" s="112">
        <f>IF('Metric Data'!$B$2,K44,I44)</f>
        <v>101.39700000000001</v>
      </c>
      <c r="O44" s="32">
        <f t="shared" si="2"/>
        <v>101.39700000000001</v>
      </c>
      <c r="Q44" s="112">
        <f t="shared" si="5"/>
        <v>1.396999999999998</v>
      </c>
      <c r="R44" s="32">
        <f t="shared" si="6"/>
        <v>1.396999999999998</v>
      </c>
      <c r="S44" s="32">
        <f t="shared" si="7"/>
        <v>388.71876118302413</v>
      </c>
      <c r="U44" s="32">
        <f t="shared" si="3"/>
        <v>1</v>
      </c>
      <c r="X44" s="30" t="str" cm="1">
        <f t="array" ref="X44">IF($AP$21="INVERT",R44,IF(X43&gt;=$S$12,"",IF(R43="","",INDEX($R$18:$R$227,$U$17-ROWS($R$18:$R43)))))</f>
        <v/>
      </c>
      <c r="Y44" s="30" t="str">
        <f t="shared" si="8"/>
        <v/>
      </c>
      <c r="Z44" s="30" t="str">
        <f>IF(Z43="","",IF($AP$21="TYP",IF(S43="","",INDEX($S$18:$S$227,$U$17-ROWS($S$18:$S43))),IF($AP$21="INVERT",S44,"")))</f>
        <v/>
      </c>
      <c r="AA44" s="75" t="str">
        <f t="shared" si="4"/>
        <v/>
      </c>
      <c r="AB44" s="75"/>
      <c r="AC44" s="35"/>
      <c r="AD44" s="35"/>
      <c r="AE44" s="35"/>
      <c r="AF44" s="35"/>
      <c r="AG44" s="35"/>
      <c r="AH44" s="88"/>
      <c r="AI44" s="88"/>
      <c r="AJ44" s="88"/>
      <c r="AK44" s="153" t="str">
        <f>IFERROR(INDEX($I$18:$I$200, MATCH($AI$33, $H$18:$H$200, 1)), "")</f>
        <v/>
      </c>
      <c r="AL44" s="153">
        <f>INDEX($K$18:$K$200, MATCH($AI$33, $J$18:$J$200, -1))</f>
        <v>100.0254</v>
      </c>
      <c r="AM44" s="35"/>
    </row>
    <row r="45" spans="1:39" x14ac:dyDescent="0.2">
      <c r="A45" s="32">
        <f t="shared" si="1"/>
        <v>45</v>
      </c>
      <c r="C45" s="36">
        <f>IF(OR(C44&lt;30,C44=""),"",'Metric Calcs'!C41)</f>
        <v>1371.6</v>
      </c>
      <c r="D45" s="80">
        <f>IF(C45=0,"",'Metric Calcs'!D41)</f>
        <v>6.6349799801783904E-2</v>
      </c>
      <c r="E45" s="80">
        <f>IF(OR(E43=1,E43=""),"",IF('Metric Data'!$B$2,'Metric Calcs'!E41,'Metric Calcs'!F41))</f>
        <v>1.0865043182783521E-2</v>
      </c>
      <c r="F45" s="30">
        <f>IF(OR(F43=1,F43=""),"",IF('Metric Data'!$B$2,'Metric Calcs'!F41,'Metric Calcs'!H41))</f>
        <v>6.6349799801783904</v>
      </c>
      <c r="G45" s="30">
        <f>IF(OR(G43=1,G43=""),"",IF('Metric Data'!$B$2,'Metric Calcs'!G41,'Metric Calcs'!K41))</f>
        <v>0.10865043182783521</v>
      </c>
      <c r="H45" s="30">
        <f>IF(OR(H43=1,H43=""),"",IF('Metric Data'!$B$2,'Metric Calcs'!H41,'Metric Calcs'!N41))</f>
        <v>3.2969478351975092</v>
      </c>
      <c r="I45" s="30">
        <f>IF(OR(I43=1,I43=""),"",IF('Metric Data'!$B$2,'Metric Calcs'!K41,'Metric Calcs'!W41))</f>
        <v>10.040578247203735</v>
      </c>
      <c r="J45" s="30">
        <f>IF('Metric Data'!$B$2,'Metric Calcs'!N41,"")</f>
        <v>598.60642924536307</v>
      </c>
      <c r="K45" s="30">
        <f>IF('Metric Data'!$B$2,'Metric Calcs'!W41,"")</f>
        <v>101.3716</v>
      </c>
      <c r="L45" s="37">
        <f>IF('Metric Data'!$B$2,J45,H45)</f>
        <v>598.60642924536307</v>
      </c>
      <c r="M45" s="112">
        <f>IF('Metric Data'!$B$2,K45,I45)</f>
        <v>101.3716</v>
      </c>
      <c r="O45" s="32">
        <f t="shared" si="2"/>
        <v>101.3716</v>
      </c>
      <c r="Q45" s="112">
        <f t="shared" si="5"/>
        <v>1.3715999999999979</v>
      </c>
      <c r="R45" s="32">
        <f t="shared" si="6"/>
        <v>1.3715999999999979</v>
      </c>
      <c r="S45" s="32">
        <f t="shared" si="7"/>
        <v>395.29835618904855</v>
      </c>
      <c r="U45" s="32">
        <f t="shared" si="3"/>
        <v>1</v>
      </c>
      <c r="X45" s="30" t="str" cm="1">
        <f t="array" ref="X45">IF($AP$21="INVERT",R45,IF(X44&gt;=$S$12,"",IF(R44="","",INDEX($R$18:$R$227,$U$17-ROWS($R$18:$R44)))))</f>
        <v/>
      </c>
      <c r="Y45" s="30" t="str">
        <f t="shared" si="8"/>
        <v/>
      </c>
      <c r="Z45" s="30" t="str">
        <f>IF(Z44="","",IF($AP$21="TYP",IF(S44="","",INDEX($S$18:$S$227,$U$17-ROWS($S$18:$S44))),IF($AP$21="INVERT",S45,"")))</f>
        <v/>
      </c>
      <c r="AA45" s="75" t="str">
        <f t="shared" si="4"/>
        <v/>
      </c>
      <c r="AB45" s="75"/>
      <c r="AC45" s="35"/>
      <c r="AD45" s="35"/>
      <c r="AE45" s="35"/>
      <c r="AF45" s="35"/>
      <c r="AG45" s="35"/>
      <c r="AH45" s="88"/>
      <c r="AI45" s="88"/>
      <c r="AJ45" s="88"/>
      <c r="AK45" s="153">
        <f>IFERROR(INDEX($I$18:$I$200, MATCH($AI$33, $H$18:$H$200, -1)), MIN($I$18:$I$200)-25.4/1000)</f>
        <v>5.9943999999999997</v>
      </c>
      <c r="AL45" s="153" t="str" cm="1">
        <f t="array" ref="AL45">IFERROR(INDEX($K$18:$K$200, MATCH($AI$33, $J$18:$J$200,-1)+1), MIN($K$18:$K$200)-25.4/1000)</f>
        <v/>
      </c>
      <c r="AM45" s="35"/>
    </row>
    <row r="46" spans="1:39" x14ac:dyDescent="0.2">
      <c r="A46" s="32">
        <f t="shared" si="1"/>
        <v>46</v>
      </c>
      <c r="C46" s="36">
        <f>IF(OR(C45&lt;30,C45=""),"",'Metric Calcs'!C42)</f>
        <v>1346.1999999999998</v>
      </c>
      <c r="D46" s="80">
        <f>IF(C46=0,"",'Metric Calcs'!D42)</f>
        <v>6.890695087073484E-2</v>
      </c>
      <c r="E46" s="80">
        <f>IF(OR(E44=1,E44=""),"",IF('Metric Data'!$B$2,'Metric Calcs'!E42,'Metric Calcs'!F42))</f>
        <v>1.158698201897212E-2</v>
      </c>
      <c r="F46" s="30">
        <f>IF(OR(F44=1,F44=""),"",IF('Metric Data'!$B$2,'Metric Calcs'!F42,'Metric Calcs'!H42))</f>
        <v>6.8906950870734835</v>
      </c>
      <c r="G46" s="30">
        <f>IF(OR(G44=1,G44=""),"",IF('Metric Data'!$B$2,'Metric Calcs'!G42,'Metric Calcs'!K42))</f>
        <v>0.1158698201897212</v>
      </c>
      <c r="H46" s="30">
        <f>IF(OR(H44=1,H44=""),"",IF('Metric Data'!$B$2,'Metric Calcs'!H42,'Metric Calcs'!N42))</f>
        <v>3.1917740370947176</v>
      </c>
      <c r="I46" s="30">
        <f>IF(OR(I44=1,I44=""),"",IF('Metric Data'!$B$2,'Metric Calcs'!K42,'Metric Calcs'!W42))</f>
        <v>10.198338944357921</v>
      </c>
      <c r="J46" s="30">
        <f>IF('Metric Data'!$B$2,'Metric Calcs'!N42,"")</f>
        <v>588.56585099815936</v>
      </c>
      <c r="K46" s="30">
        <f>IF('Metric Data'!$B$2,'Metric Calcs'!W42,"")</f>
        <v>101.3462</v>
      </c>
      <c r="L46" s="37">
        <f>IF('Metric Data'!$B$2,J46,H46)</f>
        <v>588.56585099815936</v>
      </c>
      <c r="M46" s="112">
        <f>IF('Metric Data'!$B$2,K46,I46)</f>
        <v>101.3462</v>
      </c>
      <c r="O46" s="32">
        <f t="shared" si="2"/>
        <v>101.3462</v>
      </c>
      <c r="Q46" s="112">
        <f t="shared" si="5"/>
        <v>1.3461999999999978</v>
      </c>
      <c r="R46" s="32">
        <f t="shared" si="6"/>
        <v>1.3461999999999978</v>
      </c>
      <c r="S46" s="32">
        <f t="shared" si="7"/>
        <v>401.50940725833624</v>
      </c>
      <c r="U46" s="32">
        <f t="shared" si="3"/>
        <v>1</v>
      </c>
      <c r="X46" s="30" t="str" cm="1">
        <f t="array" ref="X46">IF($AP$21="INVERT",R46,IF(X45&gt;=$S$12,"",IF(R45="","",INDEX($R$18:$R$227,$U$17-ROWS($R$18:$R45)))))</f>
        <v/>
      </c>
      <c r="Y46" s="30" t="str">
        <f t="shared" si="8"/>
        <v/>
      </c>
      <c r="Z46" s="30" t="str">
        <f>IF(Z45="","",IF($AP$21="TYP",IF(S45="","",INDEX($S$18:$S$227,$U$17-ROWS($S$18:$S45))),IF($AP$21="INVERT",S46,"")))</f>
        <v/>
      </c>
      <c r="AA46" s="75" t="str">
        <f t="shared" si="4"/>
        <v/>
      </c>
      <c r="AB46" s="75"/>
      <c r="AC46" s="35"/>
      <c r="AD46" s="35"/>
      <c r="AE46" s="35"/>
      <c r="AF46" s="35"/>
      <c r="AG46" s="35"/>
      <c r="AH46" s="88"/>
      <c r="AI46" s="88"/>
      <c r="AJ46" s="88"/>
      <c r="AK46" s="153" t="str">
        <f>INDEX($H$18:$H$200, MATCH(AK44, $I$18:$I$200, 0))</f>
        <v/>
      </c>
      <c r="AL46" s="153">
        <f>INDEX($J$18:$J$200, MATCH(AL44, $K$18:$K$200, 0))</f>
        <v>5.9943999999999997</v>
      </c>
      <c r="AM46" s="35"/>
    </row>
    <row r="47" spans="1:39" x14ac:dyDescent="0.2">
      <c r="A47" s="32">
        <f t="shared" si="1"/>
        <v>47</v>
      </c>
      <c r="C47" s="36">
        <f>IF(OR(C46&lt;30,C46=""),"",'Metric Calcs'!C43)</f>
        <v>1320.8</v>
      </c>
      <c r="D47" s="80">
        <f>IF(C47=0,"",'Metric Calcs'!D43)</f>
        <v>7.1331230638538967E-2</v>
      </c>
      <c r="E47" s="80">
        <f>IF(OR(E45=1,E45=""),"",IF('Metric Data'!$B$2,'Metric Calcs'!E43,'Metric Calcs'!F43))</f>
        <v>1.2484225966303294E-2</v>
      </c>
      <c r="F47" s="30">
        <f>IF(OR(F45=1,F45=""),"",IF('Metric Data'!$B$2,'Metric Calcs'!F43,'Metric Calcs'!H43))</f>
        <v>7.1331230638538967</v>
      </c>
      <c r="G47" s="30">
        <f>IF(OR(G45=1,G45=""),"",IF('Metric Data'!$B$2,'Metric Calcs'!G43,'Metric Calcs'!K43))</f>
        <v>0.12484225966303295</v>
      </c>
      <c r="H47" s="30">
        <f>IF(OR(H45=1,H45=""),"",IF('Metric Data'!$B$2,'Metric Calcs'!H43,'Metric Calcs'!N43))</f>
        <v>3.0912138705932279</v>
      </c>
      <c r="I47" s="30">
        <f>IF(OR(I45=1,I45=""),"",IF('Metric Data'!$B$2,'Metric Calcs'!K43,'Metric Calcs'!W43))</f>
        <v>10.349179194110159</v>
      </c>
      <c r="J47" s="30">
        <f>IF('Metric Data'!$B$2,'Metric Calcs'!N43,"")</f>
        <v>578.36751205380142</v>
      </c>
      <c r="K47" s="30">
        <f>IF('Metric Data'!$B$2,'Metric Calcs'!W43,"")</f>
        <v>101.32080000000001</v>
      </c>
      <c r="L47" s="37">
        <f>IF('Metric Data'!$B$2,J47,H47)</f>
        <v>578.36751205380142</v>
      </c>
      <c r="M47" s="112">
        <f>IF('Metric Data'!$B$2,K47,I47)</f>
        <v>101.32080000000001</v>
      </c>
      <c r="O47" s="32">
        <f t="shared" si="2"/>
        <v>101.32080000000001</v>
      </c>
      <c r="Q47" s="112">
        <f t="shared" si="5"/>
        <v>1.3207999999999978</v>
      </c>
      <c r="R47" s="32">
        <f t="shared" si="6"/>
        <v>1.3207999999999978</v>
      </c>
      <c r="S47" s="32">
        <f t="shared" si="7"/>
        <v>407.44799976804211</v>
      </c>
      <c r="U47" s="32">
        <f t="shared" si="3"/>
        <v>1</v>
      </c>
      <c r="X47" s="30" t="str" cm="1">
        <f t="array" ref="X47">IF($AP$21="INVERT",R47,IF(X46&gt;=$S$12,"",IF(R46="","",INDEX($R$18:$R$227,$U$17-ROWS($R$18:$R46)))))</f>
        <v/>
      </c>
      <c r="Y47" s="30" t="str">
        <f t="shared" si="8"/>
        <v/>
      </c>
      <c r="Z47" s="30" t="str">
        <f>IF(Z46="","",IF($AP$21="TYP",IF(S46="","",INDEX($S$18:$S$227,$U$17-ROWS($S$18:$S46))),IF($AP$21="INVERT",S47,"")))</f>
        <v/>
      </c>
      <c r="AA47" s="75" t="str">
        <f t="shared" si="4"/>
        <v/>
      </c>
      <c r="AB47" s="75"/>
      <c r="AC47" s="35"/>
      <c r="AD47" s="35"/>
      <c r="AE47" s="35"/>
      <c r="AF47" s="35"/>
      <c r="AG47" s="35"/>
      <c r="AH47" s="88"/>
      <c r="AI47" s="88"/>
      <c r="AJ47" s="88"/>
      <c r="AK47" s="153">
        <f>INDEX($H$18:$H$200, MATCH(AK45, $I$18:$I$200, 0))</f>
        <v>5.9943999999999997</v>
      </c>
      <c r="AL47" s="153" t="str">
        <f>INDEX($J$18:$J$200, MATCH(AL45, $K$18:$K$200, 0))</f>
        <v/>
      </c>
      <c r="AM47" s="35"/>
    </row>
    <row r="48" spans="1:39" x14ac:dyDescent="0.2">
      <c r="A48" s="32">
        <f t="shared" si="1"/>
        <v>48</v>
      </c>
      <c r="C48" s="36">
        <f>IF(OR(C47&lt;30,C47=""),"",'Metric Calcs'!C44)</f>
        <v>1295.3999999999999</v>
      </c>
      <c r="D48" s="80">
        <f>IF(C48=0,"",'Metric Calcs'!D44)</f>
        <v>7.3639239699844414E-2</v>
      </c>
      <c r="E48" s="80">
        <f>IF(OR(E46=1,E46=""),"",IF('Metric Data'!$B$2,'Metric Calcs'!E44,'Metric Calcs'!F44))</f>
        <v>1.3274319694180867E-2</v>
      </c>
      <c r="F48" s="30">
        <f>IF(OR(F46=1,F46=""),"",IF('Metric Data'!$B$2,'Metric Calcs'!F44,'Metric Calcs'!H44))</f>
        <v>7.363923969984441</v>
      </c>
      <c r="G48" s="30">
        <f>IF(OR(G46=1,G46=""),"",IF('Metric Data'!$B$2,'Metric Calcs'!G44,'Metric Calcs'!K44))</f>
        <v>0.13274319694180867</v>
      </c>
      <c r="H48" s="30">
        <f>IF(OR(H46=1,H46=""),"",IF('Metric Data'!$B$2,'Metric Calcs'!H44,'Metric Calcs'!N44))</f>
        <v>2.9957331332294999</v>
      </c>
      <c r="I48" s="30">
        <f>IF(OR(I46=1,I46=""),"",IF('Metric Data'!$B$2,'Metric Calcs'!K44,'Metric Calcs'!W44))</f>
        <v>10.492400300155749</v>
      </c>
      <c r="J48" s="30">
        <f>IF('Metric Data'!$B$2,'Metric Calcs'!N44,"")</f>
        <v>568.01833285969121</v>
      </c>
      <c r="K48" s="30">
        <f>IF('Metric Data'!$B$2,'Metric Calcs'!W44,"")</f>
        <v>101.2954</v>
      </c>
      <c r="L48" s="37">
        <f>IF('Metric Data'!$B$2,J48,H48)</f>
        <v>568.01833285969121</v>
      </c>
      <c r="M48" s="112">
        <f>IF('Metric Data'!$B$2,K48,I48)</f>
        <v>101.2954</v>
      </c>
      <c r="O48" s="32">
        <f t="shared" si="2"/>
        <v>101.2954</v>
      </c>
      <c r="Q48" s="112">
        <f t="shared" si="5"/>
        <v>1.2953999999999977</v>
      </c>
      <c r="R48" s="32">
        <f t="shared" si="6"/>
        <v>1.2953999999999977</v>
      </c>
      <c r="S48" s="32">
        <f t="shared" si="7"/>
        <v>413.08662599030606</v>
      </c>
      <c r="U48" s="32">
        <f t="shared" si="3"/>
        <v>1</v>
      </c>
      <c r="X48" s="30" t="str" cm="1">
        <f t="array" ref="X48">IF($AP$21="INVERT",R48,IF(X47&gt;=$S$12,"",IF(R47="","",INDEX($R$18:$R$227,$U$17-ROWS($R$18:$R47)))))</f>
        <v/>
      </c>
      <c r="Y48" s="30" t="str">
        <f t="shared" si="8"/>
        <v/>
      </c>
      <c r="Z48" s="30" t="str">
        <f>IF(Z47="","",IF($AP$21="TYP",IF(S47="","",INDEX($S$18:$S$227,$U$17-ROWS($S$18:$S47))),IF($AP$21="INVERT",S48,"")))</f>
        <v/>
      </c>
      <c r="AA48" s="75" t="str">
        <f t="shared" si="4"/>
        <v/>
      </c>
      <c r="AB48" s="75"/>
      <c r="AC48" s="35"/>
      <c r="AD48" s="35"/>
      <c r="AE48" s="35"/>
      <c r="AF48" s="35"/>
      <c r="AG48" s="35"/>
      <c r="AH48" s="88"/>
      <c r="AI48" s="88"/>
      <c r="AJ48" s="88"/>
      <c r="AK48" s="135" t="e">
        <f>(((ROUND(AK44,2)-ROUND(AK45,2))/(ROUND(AK46,2)-ROUND(AK47,2)))*(ROUND(AK46,2)-$AI$33)-ROUND(AK44,2))*-1</f>
        <v>#VALUE!</v>
      </c>
      <c r="AL48" s="135" t="e">
        <f>(((ROUND(AL44,2)-ROUND(AL45,2))/(ROUND(AL46,2)-ROUND(AL47,2)))*(ROUND(AL46,2)-$AI$33)-ROUND(AL44,2))*-1</f>
        <v>#VALUE!</v>
      </c>
      <c r="AM48" s="35"/>
    </row>
    <row r="49" spans="1:39" x14ac:dyDescent="0.2">
      <c r="A49" s="32">
        <f t="shared" si="1"/>
        <v>49</v>
      </c>
      <c r="C49" s="36">
        <f>IF(OR(C48&lt;30,C48=""),"",'Metric Calcs'!C45)</f>
        <v>1270</v>
      </c>
      <c r="D49" s="80">
        <f>IF(C49=0,"",'Metric Calcs'!D45)</f>
        <v>7.5843537023927002E-2</v>
      </c>
      <c r="E49" s="80">
        <f>IF(OR(E47=1,E47=""),"",IF('Metric Data'!$B$2,'Metric Calcs'!E45,'Metric Calcs'!F45))</f>
        <v>1.4023498796545525E-2</v>
      </c>
      <c r="F49" s="30">
        <f>IF(OR(F47=1,F47=""),"",IF('Metric Data'!$B$2,'Metric Calcs'!F45,'Metric Calcs'!H45))</f>
        <v>7.5843537023927006</v>
      </c>
      <c r="G49" s="30">
        <f>IF(OR(G47=1,G47=""),"",IF('Metric Data'!$B$2,'Metric Calcs'!G45,'Metric Calcs'!K45))</f>
        <v>0.14023498796545525</v>
      </c>
      <c r="H49" s="30">
        <f>IF(OR(H47=1,H47=""),"",IF('Metric Data'!$B$2,'Metric Calcs'!H45,'Metric Calcs'!N45))</f>
        <v>2.9045645238567372</v>
      </c>
      <c r="I49" s="30">
        <f>IF(OR(I47=1,I47=""),"",IF('Metric Data'!$B$2,'Metric Calcs'!K45,'Metric Calcs'!W45))</f>
        <v>10.629153214214893</v>
      </c>
      <c r="J49" s="30">
        <f>IF('Metric Data'!$B$2,'Metric Calcs'!N45,"")</f>
        <v>557.52593255953548</v>
      </c>
      <c r="K49" s="30">
        <f>IF('Metric Data'!$B$2,'Metric Calcs'!W45,"")</f>
        <v>101.27</v>
      </c>
      <c r="L49" s="37">
        <f>IF('Metric Data'!$B$2,J49,H49)</f>
        <v>557.52593255953548</v>
      </c>
      <c r="M49" s="112">
        <f>IF('Metric Data'!$B$2,K49,I49)</f>
        <v>101.27</v>
      </c>
      <c r="O49" s="32">
        <f t="shared" si="2"/>
        <v>101.27</v>
      </c>
      <c r="Q49" s="112">
        <f t="shared" si="5"/>
        <v>1.2699999999999976</v>
      </c>
      <c r="R49" s="32">
        <f t="shared" si="6"/>
        <v>1.2699999999999976</v>
      </c>
      <c r="S49" s="32">
        <f t="shared" si="7"/>
        <v>418.47059898499253</v>
      </c>
      <c r="U49" s="32">
        <f t="shared" si="3"/>
        <v>1</v>
      </c>
      <c r="X49" s="30" t="str" cm="1">
        <f t="array" ref="X49">IF($AP$21="INVERT",R49,IF(X48&gt;=$S$12,"",IF(R48="","",INDEX($R$18:$R$227,$U$17-ROWS($R$18:$R48)))))</f>
        <v/>
      </c>
      <c r="Y49" s="30" t="str">
        <f t="shared" si="8"/>
        <v/>
      </c>
      <c r="Z49" s="30" t="str">
        <f>IF(Z48="","",IF($AP$21="TYP",IF(S48="","",INDEX($S$18:$S$227,$U$17-ROWS($S$18:$S48))),IF($AP$21="INVERT",S49,"")))</f>
        <v/>
      </c>
      <c r="AA49" s="75" t="str">
        <f t="shared" si="4"/>
        <v/>
      </c>
      <c r="AB49" s="75"/>
      <c r="AC49" s="35"/>
      <c r="AD49" s="35"/>
      <c r="AE49" s="35"/>
      <c r="AF49" s="35"/>
      <c r="AG49" s="35"/>
      <c r="AH49" s="88"/>
      <c r="AI49" s="88"/>
      <c r="AJ49" s="88"/>
      <c r="AK49" s="136" t="e">
        <f>ROUNDUP(MAX(IFERROR(AK48,AK43),0),2)</f>
        <v>#N/A</v>
      </c>
      <c r="AL49" s="136" t="e">
        <f>ROUNDUP(MAX(IFERROR(AL48,AL43),0),2)</f>
        <v>#N/A</v>
      </c>
      <c r="AM49" s="35"/>
    </row>
    <row r="50" spans="1:39" x14ac:dyDescent="0.2">
      <c r="A50" s="32">
        <f t="shared" si="1"/>
        <v>50</v>
      </c>
      <c r="C50" s="36">
        <f>IF(OR(C49&lt;30,C49=""),"",'Metric Calcs'!C46)</f>
        <v>1244.5999999999999</v>
      </c>
      <c r="D50" s="80">
        <f>IF(C50=0,"",'Metric Calcs'!D46)</f>
        <v>7.7943330879229999E-2</v>
      </c>
      <c r="E50" s="80">
        <f>IF(OR(E48=1,E48=""),"",IF('Metric Data'!$B$2,'Metric Calcs'!E46,'Metric Calcs'!F46))</f>
        <v>1.4743983293218124E-2</v>
      </c>
      <c r="F50" s="30">
        <f>IF(OR(F48=1,F48=""),"",IF('Metric Data'!$B$2,'Metric Calcs'!F46,'Metric Calcs'!H46))</f>
        <v>7.7943330879230004</v>
      </c>
      <c r="G50" s="30">
        <f>IF(OR(G48=1,G48=""),"",IF('Metric Data'!$B$2,'Metric Calcs'!G46,'Metric Calcs'!K46))</f>
        <v>0.14743983293218124</v>
      </c>
      <c r="H50" s="30">
        <f>IF(OR(H48=1,H48=""),"",IF('Metric Data'!$B$2,'Metric Calcs'!H46,'Metric Calcs'!N46))</f>
        <v>2.8176908316579272</v>
      </c>
      <c r="I50" s="30">
        <f>IF(OR(I48=1,I48=""),"",IF('Metric Data'!$B$2,'Metric Calcs'!K46,'Metric Calcs'!W46))</f>
        <v>10.759463752513108</v>
      </c>
      <c r="J50" s="30">
        <f>IF('Metric Data'!$B$2,'Metric Calcs'!N46,"")</f>
        <v>546.89677934532062</v>
      </c>
      <c r="K50" s="30">
        <f>IF('Metric Data'!$B$2,'Metric Calcs'!W46,"")</f>
        <v>101.24460000000001</v>
      </c>
      <c r="L50" s="37">
        <f>IF('Metric Data'!$B$2,J50,H50)</f>
        <v>546.89677934532062</v>
      </c>
      <c r="M50" s="112">
        <f>IF('Metric Data'!$B$2,K50,I50)</f>
        <v>101.24460000000001</v>
      </c>
      <c r="O50" s="32">
        <f t="shared" si="2"/>
        <v>101.24460000000001</v>
      </c>
      <c r="Q50" s="112">
        <f t="shared" si="5"/>
        <v>1.2445999999999975</v>
      </c>
      <c r="R50" s="32">
        <f t="shared" si="6"/>
        <v>1.2445999999999975</v>
      </c>
      <c r="S50" s="32">
        <f t="shared" si="7"/>
        <v>423.60093513823006</v>
      </c>
      <c r="U50" s="32">
        <f t="shared" si="3"/>
        <v>1</v>
      </c>
      <c r="X50" s="30" t="str" cm="1">
        <f t="array" ref="X50">IF($AP$21="INVERT",R50,IF(X49&gt;=$S$12,"",IF(R49="","",INDEX($R$18:$R$227,$U$17-ROWS($R$18:$R49)))))</f>
        <v/>
      </c>
      <c r="Y50" s="30" t="str">
        <f t="shared" si="8"/>
        <v/>
      </c>
      <c r="Z50" s="30" t="str">
        <f>IF(Z49="","",IF($AP$21="TYP",IF(S49="","",INDEX($S$18:$S$227,$U$17-ROWS($S$18:$S49))),IF($AP$21="INVERT",S50,"")))</f>
        <v/>
      </c>
      <c r="AA50" s="75" t="str">
        <f t="shared" si="4"/>
        <v/>
      </c>
      <c r="AB50" s="75"/>
      <c r="AC50" s="35"/>
      <c r="AD50" s="35"/>
      <c r="AE50" s="35"/>
      <c r="AF50" s="35"/>
      <c r="AG50" s="35"/>
      <c r="AH50" s="35"/>
      <c r="AI50" s="35"/>
      <c r="AJ50" s="35"/>
      <c r="AK50" s="35"/>
      <c r="AL50" s="35"/>
      <c r="AM50" s="35"/>
    </row>
    <row r="51" spans="1:39" x14ac:dyDescent="0.2">
      <c r="A51" s="32">
        <f t="shared" si="1"/>
        <v>51</v>
      </c>
      <c r="C51" s="36">
        <f>IF(OR(C50&lt;30,C50=""),"",'Metric Calcs'!C47)</f>
        <v>1219.1999999999998</v>
      </c>
      <c r="D51" s="80">
        <f>IF(C51=0,"",'Metric Calcs'!D47)</f>
        <v>7.995012204445702E-2</v>
      </c>
      <c r="E51" s="80">
        <f>IF(OR(E49=1,E49=""),"",IF('Metric Data'!$B$2,'Metric Calcs'!E47,'Metric Calcs'!F47))</f>
        <v>1.541704148378866E-2</v>
      </c>
      <c r="F51" s="30">
        <f>IF(OR(F49=1,F49=""),"",IF('Metric Data'!$B$2,'Metric Calcs'!F47,'Metric Calcs'!H47))</f>
        <v>7.9950122044457022</v>
      </c>
      <c r="G51" s="30">
        <f>IF(OR(G49=1,G49=""),"",IF('Metric Data'!$B$2,'Metric Calcs'!G47,'Metric Calcs'!K47))</f>
        <v>0.1541704148378866</v>
      </c>
      <c r="H51" s="30">
        <f>IF(OR(H49=1,H49=""),"",IF('Metric Data'!$B$2,'Metric Calcs'!H47,'Metric Calcs'!N47))</f>
        <v>2.734726952286564</v>
      </c>
      <c r="I51" s="30">
        <f>IF(OR(I49=1,I49=""),"",IF('Metric Data'!$B$2,'Metric Calcs'!K47,'Metric Calcs'!W47))</f>
        <v>10.883909571570154</v>
      </c>
      <c r="J51" s="30">
        <f>IF('Metric Data'!$B$2,'Metric Calcs'!N47,"")</f>
        <v>536.13731559280757</v>
      </c>
      <c r="K51" s="30">
        <f>IF('Metric Data'!$B$2,'Metric Calcs'!W47,"")</f>
        <v>101.2192</v>
      </c>
      <c r="L51" s="37">
        <f>IF('Metric Data'!$B$2,J51,H51)</f>
        <v>536.13731559280757</v>
      </c>
      <c r="M51" s="112">
        <f>IF('Metric Data'!$B$2,K51,I51)</f>
        <v>101.2192</v>
      </c>
      <c r="O51" s="32">
        <f t="shared" si="2"/>
        <v>101.2192</v>
      </c>
      <c r="Q51" s="112">
        <f t="shared" si="5"/>
        <v>1.2191999999999974</v>
      </c>
      <c r="R51" s="32">
        <f t="shared" si="6"/>
        <v>1.2191999999999974</v>
      </c>
      <c r="S51" s="32">
        <f t="shared" si="7"/>
        <v>428.50037683339002</v>
      </c>
      <c r="U51" s="32">
        <f t="shared" si="3"/>
        <v>1</v>
      </c>
      <c r="X51" s="30" t="str" cm="1">
        <f t="array" ref="X51">IF($AP$21="INVERT",R51,IF(X50&gt;=$S$12,"",IF(R50="","",INDEX($R$18:$R$227,$U$17-ROWS($R$18:$R50)))))</f>
        <v/>
      </c>
      <c r="Y51" s="30" t="str">
        <f t="shared" si="8"/>
        <v/>
      </c>
      <c r="Z51" s="30" t="str">
        <f>IF(Z50="","",IF($AP$21="TYP",IF(S50="","",INDEX($S$18:$S$227,$U$17-ROWS($S$18:$S50))),IF($AP$21="INVERT",S51,"")))</f>
        <v/>
      </c>
      <c r="AA51" s="75" t="str">
        <f t="shared" si="4"/>
        <v/>
      </c>
      <c r="AB51" s="75"/>
      <c r="AC51" s="35"/>
      <c r="AD51" s="35"/>
      <c r="AE51" s="35"/>
      <c r="AF51" s="35"/>
      <c r="AG51" s="35"/>
      <c r="AH51" s="35"/>
      <c r="AI51" s="35"/>
      <c r="AJ51" s="35"/>
      <c r="AK51" s="35"/>
      <c r="AL51" s="35"/>
      <c r="AM51" s="35"/>
    </row>
    <row r="52" spans="1:39" x14ac:dyDescent="0.2">
      <c r="A52" s="32">
        <f t="shared" si="1"/>
        <v>52</v>
      </c>
      <c r="C52" s="36">
        <f>IF(OR(C51&lt;30,C51=""),"",'Metric Calcs'!C48)</f>
        <v>1193.8</v>
      </c>
      <c r="D52" s="80">
        <f>IF(C52=0,"",'Metric Calcs'!D48)</f>
        <v>8.1874839869744087E-2</v>
      </c>
      <c r="E52" s="80">
        <f>IF(OR(E50=1,E50=""),"",IF('Metric Data'!$B$2,'Metric Calcs'!E48,'Metric Calcs'!F48))</f>
        <v>1.6048999292085621E-2</v>
      </c>
      <c r="F52" s="30">
        <f>IF(OR(F50=1,F50=""),"",IF('Metric Data'!$B$2,'Metric Calcs'!F48,'Metric Calcs'!H48))</f>
        <v>8.1874839869744083</v>
      </c>
      <c r="G52" s="30">
        <f>IF(OR(G50=1,G50=""),"",IF('Metric Data'!$B$2,'Metric Calcs'!G48,'Metric Calcs'!K48))</f>
        <v>0.16048999292085619</v>
      </c>
      <c r="H52" s="30">
        <f>IF(OR(H50=1,H50=""),"",IF('Metric Data'!$B$2,'Metric Calcs'!H48,'Metric Calcs'!N48))</f>
        <v>2.6552104080418939</v>
      </c>
      <c r="I52" s="30">
        <f>IF(OR(I50=1,I50=""),"",IF('Metric Data'!$B$2,'Metric Calcs'!K48,'Metric Calcs'!W48))</f>
        <v>11.003184387937159</v>
      </c>
      <c r="J52" s="30">
        <f>IF('Metric Data'!$B$2,'Metric Calcs'!N48,"")</f>
        <v>525.25340602123742</v>
      </c>
      <c r="K52" s="30">
        <f>IF('Metric Data'!$B$2,'Metric Calcs'!W48,"")</f>
        <v>101.1938</v>
      </c>
      <c r="L52" s="37">
        <f>IF('Metric Data'!$B$2,J52,H52)</f>
        <v>525.25340602123742</v>
      </c>
      <c r="M52" s="112">
        <f>IF('Metric Data'!$B$2,K52,I52)</f>
        <v>101.1938</v>
      </c>
      <c r="O52" s="32">
        <f t="shared" si="2"/>
        <v>101.1938</v>
      </c>
      <c r="Q52" s="112">
        <f t="shared" si="5"/>
        <v>1.1937999999999973</v>
      </c>
      <c r="R52" s="32">
        <f t="shared" si="6"/>
        <v>1.1937999999999973</v>
      </c>
      <c r="S52" s="32">
        <f t="shared" si="7"/>
        <v>433.19623574571852</v>
      </c>
      <c r="U52" s="32">
        <f t="shared" si="3"/>
        <v>1</v>
      </c>
      <c r="X52" s="30" t="str" cm="1">
        <f t="array" ref="X52">IF($AP$21="INVERT",R52,IF(X51&gt;=$S$12,"",IF(R51="","",INDEX($R$18:$R$227,$U$17-ROWS($R$18:$R51)))))</f>
        <v/>
      </c>
      <c r="Y52" s="30" t="str">
        <f t="shared" si="8"/>
        <v/>
      </c>
      <c r="Z52" s="30" t="str">
        <f>IF(Z51="","",IF($AP$21="TYP",IF(S51="","",INDEX($S$18:$S$227,$U$17-ROWS($S$18:$S51))),IF($AP$21="INVERT",S52,"")))</f>
        <v/>
      </c>
      <c r="AA52" s="75" t="str">
        <f t="shared" si="4"/>
        <v/>
      </c>
      <c r="AB52" s="75"/>
      <c r="AC52" s="35"/>
      <c r="AD52" s="35"/>
      <c r="AE52" s="35"/>
      <c r="AF52" s="35"/>
      <c r="AG52" s="35"/>
      <c r="AH52" s="35"/>
      <c r="AI52" s="35"/>
      <c r="AJ52" s="35"/>
      <c r="AK52" s="35"/>
      <c r="AL52" s="35"/>
      <c r="AM52" s="35"/>
    </row>
    <row r="53" spans="1:39" x14ac:dyDescent="0.2">
      <c r="A53" s="32">
        <f t="shared" si="1"/>
        <v>53</v>
      </c>
      <c r="C53" s="36">
        <f>IF(OR(C52&lt;30,C52=""),"",'Metric Calcs'!C49)</f>
        <v>1168.3999999999999</v>
      </c>
      <c r="D53" s="80">
        <f>IF(C53=0,"",'Metric Calcs'!D49)</f>
        <v>8.3713956958799129E-2</v>
      </c>
      <c r="E53" s="80">
        <f>IF(OR(E51=1,E51=""),"",IF('Metric Data'!$B$2,'Metric Calcs'!E49,'Metric Calcs'!F49))</f>
        <v>1.6664857426022906E-2</v>
      </c>
      <c r="F53" s="30">
        <f>IF(OR(F51=1,F51=""),"",IF('Metric Data'!$B$2,'Metric Calcs'!F49,'Metric Calcs'!H49))</f>
        <v>8.3713956958799134</v>
      </c>
      <c r="G53" s="30">
        <f>IF(OR(G51=1,G51=""),"",IF('Metric Data'!$B$2,'Metric Calcs'!G49,'Metric Calcs'!K49))</f>
        <v>0.16664857426022905</v>
      </c>
      <c r="H53" s="30">
        <f>IF(OR(H51=1,H51=""),"",IF('Metric Data'!$B$2,'Metric Calcs'!H49,'Metric Calcs'!N49))</f>
        <v>2.5791822919439427</v>
      </c>
      <c r="I53" s="30">
        <f>IF(OR(I51=1,I51=""),"",IF('Metric Data'!$B$2,'Metric Calcs'!K49,'Metric Calcs'!W49))</f>
        <v>11.117226562084085</v>
      </c>
      <c r="J53" s="30">
        <f>IF('Metric Data'!$B$2,'Metric Calcs'!N49,"")</f>
        <v>514.25022163330027</v>
      </c>
      <c r="K53" s="30">
        <f>IF('Metric Data'!$B$2,'Metric Calcs'!W49,"")</f>
        <v>101.16840000000001</v>
      </c>
      <c r="L53" s="37">
        <f>IF('Metric Data'!$B$2,J53,H53)</f>
        <v>514.25022163330027</v>
      </c>
      <c r="M53" s="112">
        <f>IF('Metric Data'!$B$2,K53,I53)</f>
        <v>101.16840000000001</v>
      </c>
      <c r="O53" s="32">
        <f t="shared" si="2"/>
        <v>101.16840000000001</v>
      </c>
      <c r="Q53" s="112">
        <f t="shared" si="5"/>
        <v>1.1683999999999972</v>
      </c>
      <c r="R53" s="32">
        <f t="shared" si="6"/>
        <v>1.1683999999999972</v>
      </c>
      <c r="S53" s="32">
        <f t="shared" si="7"/>
        <v>437.68608512133767</v>
      </c>
      <c r="U53" s="32">
        <f t="shared" si="3"/>
        <v>1</v>
      </c>
      <c r="X53" s="30" t="str" cm="1">
        <f t="array" ref="X53">IF($AP$21="INVERT",R53,IF(X52&gt;=$S$12,"",IF(R52="","",INDEX($R$18:$R$227,$U$17-ROWS($R$18:$R52)))))</f>
        <v/>
      </c>
      <c r="Y53" s="30" t="str">
        <f t="shared" si="8"/>
        <v/>
      </c>
      <c r="Z53" s="30" t="str">
        <f>IF(Z52="","",IF($AP$21="TYP",IF(S52="","",INDEX($S$18:$S$227,$U$17-ROWS($S$18:$S52))),IF($AP$21="INVERT",S53,"")))</f>
        <v/>
      </c>
      <c r="AA53" s="75" t="str">
        <f t="shared" si="4"/>
        <v/>
      </c>
      <c r="AB53" s="75"/>
      <c r="AC53" s="35"/>
      <c r="AD53" s="35"/>
      <c r="AE53" s="35"/>
      <c r="AF53" s="35"/>
      <c r="AG53" s="35"/>
      <c r="AH53" s="35"/>
      <c r="AI53" s="35"/>
      <c r="AJ53" s="35"/>
      <c r="AK53" s="35"/>
      <c r="AL53" s="35"/>
      <c r="AM53" s="35"/>
    </row>
    <row r="54" spans="1:39" x14ac:dyDescent="0.2">
      <c r="A54" s="32">
        <f t="shared" si="1"/>
        <v>54</v>
      </c>
      <c r="C54" s="36">
        <f>IF(OR(C53&lt;30,C53=""),"",'Metric Calcs'!C50)</f>
        <v>1143</v>
      </c>
      <c r="D54" s="80">
        <f>IF(C54=0,"",'Metric Calcs'!D50)</f>
        <v>8.5481266883760329E-2</v>
      </c>
      <c r="E54" s="80">
        <f>IF(OR(E52=1,E52=""),"",IF('Metric Data'!$B$2,'Metric Calcs'!E50,'Metric Calcs'!F50))</f>
        <v>1.7273737505309375E-2</v>
      </c>
      <c r="F54" s="30">
        <f>IF(OR(F52=1,F52=""),"",IF('Metric Data'!$B$2,'Metric Calcs'!F50,'Metric Calcs'!H50))</f>
        <v>8.5481266883760334</v>
      </c>
      <c r="G54" s="30">
        <f>IF(OR(G52=1,G52=""),"",IF('Metric Data'!$B$2,'Metric Calcs'!G50,'Metric Calcs'!K50))</f>
        <v>0.17273737505309375</v>
      </c>
      <c r="H54" s="30">
        <f>IF(OR(H52=1,H52=""),"",IF('Metric Data'!$B$2,'Metric Calcs'!H50,'Metric Calcs'!N50))</f>
        <v>2.5060543746283486</v>
      </c>
      <c r="I54" s="30">
        <f>IF(OR(I52=1,I52=""),"",IF('Metric Data'!$B$2,'Metric Calcs'!K50,'Metric Calcs'!W50))</f>
        <v>11.226918438057476</v>
      </c>
      <c r="J54" s="30">
        <f>IF('Metric Data'!$B$2,'Metric Calcs'!N50,"")</f>
        <v>503.13299507121621</v>
      </c>
      <c r="K54" s="30">
        <f>IF('Metric Data'!$B$2,'Metric Calcs'!W50,"")</f>
        <v>101.143</v>
      </c>
      <c r="L54" s="37">
        <f>IF('Metric Data'!$B$2,J54,H54)</f>
        <v>503.13299507121621</v>
      </c>
      <c r="M54" s="112">
        <f>IF('Metric Data'!$B$2,K54,I54)</f>
        <v>101.143</v>
      </c>
      <c r="O54" s="32">
        <f t="shared" si="2"/>
        <v>101.143</v>
      </c>
      <c r="Q54" s="112">
        <f t="shared" si="5"/>
        <v>1.1429999999999971</v>
      </c>
      <c r="R54" s="32">
        <f t="shared" si="6"/>
        <v>1.1429999999999971</v>
      </c>
      <c r="S54" s="32">
        <f t="shared" si="7"/>
        <v>442.00466291556506</v>
      </c>
      <c r="U54" s="32">
        <f t="shared" si="3"/>
        <v>1</v>
      </c>
      <c r="X54" s="30" t="str" cm="1">
        <f t="array" ref="X54">IF($AP$21="INVERT",R54,IF(X53&gt;=$S$12,"",IF(R53="","",INDEX($R$18:$R$227,$U$17-ROWS($R$18:$R53)))))</f>
        <v/>
      </c>
      <c r="Y54" s="30" t="str">
        <f t="shared" si="8"/>
        <v/>
      </c>
      <c r="Z54" s="30" t="str">
        <f>IF(Z53="","",IF($AP$21="TYP",IF(S53="","",INDEX($S$18:$S$227,$U$17-ROWS($S$18:$S53))),IF($AP$21="INVERT",S54,"")))</f>
        <v/>
      </c>
      <c r="AA54" s="75" t="str">
        <f t="shared" si="4"/>
        <v/>
      </c>
      <c r="AB54" s="75"/>
      <c r="AC54" s="35"/>
      <c r="AD54" s="35"/>
      <c r="AE54" s="35"/>
      <c r="AF54" s="35"/>
      <c r="AG54" s="35"/>
      <c r="AH54" s="35"/>
      <c r="AI54" s="35"/>
      <c r="AJ54" s="35"/>
      <c r="AK54" s="35"/>
      <c r="AL54" s="35"/>
      <c r="AM54" s="35"/>
    </row>
    <row r="55" spans="1:39" x14ac:dyDescent="0.2">
      <c r="A55" s="32">
        <f t="shared" si="1"/>
        <v>55</v>
      </c>
      <c r="C55" s="36">
        <f>IF(OR(C54&lt;30,C54=""),"",'Metric Calcs'!C51)</f>
        <v>1117.5999999999999</v>
      </c>
      <c r="D55" s="80">
        <f>IF(C55=0,"",'Metric Calcs'!D51)</f>
        <v>8.7176479682854413E-2</v>
      </c>
      <c r="E55" s="80">
        <f>IF(OR(E53=1,E53=""),"",IF('Metric Data'!$B$2,'Metric Calcs'!E51,'Metric Calcs'!F51))</f>
        <v>1.7899899476143313E-2</v>
      </c>
      <c r="F55" s="30">
        <f>IF(OR(F53=1,F53=""),"",IF('Metric Data'!$B$2,'Metric Calcs'!F51,'Metric Calcs'!H51))</f>
        <v>8.7176479682854406</v>
      </c>
      <c r="G55" s="30">
        <f>IF(OR(G53=1,G53=""),"",IF('Metric Data'!$B$2,'Metric Calcs'!G51,'Metric Calcs'!K51))</f>
        <v>0.17899899476143313</v>
      </c>
      <c r="H55" s="30">
        <f>IF(OR(H53=1,H53=""),"",IF('Metric Data'!$B$2,'Metric Calcs'!H51,'Metric Calcs'!N51))</f>
        <v>2.4357412147812507</v>
      </c>
      <c r="I55" s="30">
        <f>IF(OR(I53=1,I53=""),"",IF('Metric Data'!$B$2,'Metric Calcs'!K51,'Metric Calcs'!W51))</f>
        <v>11.332388177828124</v>
      </c>
      <c r="J55" s="30">
        <f>IF('Metric Data'!$B$2,'Metric Calcs'!N51,"")</f>
        <v>491.90607663315876</v>
      </c>
      <c r="K55" s="30">
        <f>IF('Metric Data'!$B$2,'Metric Calcs'!W51,"")</f>
        <v>101.1176</v>
      </c>
      <c r="L55" s="37">
        <f>IF('Metric Data'!$B$2,J55,H55)</f>
        <v>491.90607663315876</v>
      </c>
      <c r="M55" s="112">
        <f>IF('Metric Data'!$B$2,K55,I55)</f>
        <v>101.1176</v>
      </c>
      <c r="O55" s="32">
        <f t="shared" si="2"/>
        <v>101.1176</v>
      </c>
      <c r="Q55" s="112">
        <f t="shared" si="5"/>
        <v>1.117599999999997</v>
      </c>
      <c r="R55" s="32">
        <f t="shared" si="6"/>
        <v>1.117599999999997</v>
      </c>
      <c r="S55" s="32">
        <f t="shared" si="7"/>
        <v>446.15701487528963</v>
      </c>
      <c r="U55" s="32">
        <f t="shared" si="3"/>
        <v>1</v>
      </c>
      <c r="X55" s="30" t="str" cm="1">
        <f t="array" ref="X55">IF($AP$21="INVERT",R55,IF(X54&gt;=$S$12,"",IF(R54="","",INDEX($R$18:$R$227,$U$17-ROWS($R$18:$R54)))))</f>
        <v/>
      </c>
      <c r="Y55" s="30" t="str">
        <f t="shared" si="8"/>
        <v/>
      </c>
      <c r="Z55" s="30" t="str">
        <f>IF(Z54="","",IF($AP$21="TYP",IF(S54="","",INDEX($S$18:$S$227,$U$17-ROWS($S$18:$S54))),IF($AP$21="INVERT",S55,"")))</f>
        <v/>
      </c>
      <c r="AA55" s="75" t="str">
        <f t="shared" si="4"/>
        <v/>
      </c>
      <c r="AB55" s="75"/>
      <c r="AC55" s="35"/>
      <c r="AD55" s="35"/>
      <c r="AE55" s="35"/>
      <c r="AF55" s="35"/>
      <c r="AG55" s="35"/>
      <c r="AH55" s="35"/>
      <c r="AI55" s="35"/>
      <c r="AJ55" s="35"/>
      <c r="AK55" s="35"/>
      <c r="AL55" s="35"/>
      <c r="AM55" s="35"/>
    </row>
    <row r="56" spans="1:39" x14ac:dyDescent="0.2">
      <c r="A56" s="32">
        <f t="shared" si="1"/>
        <v>56</v>
      </c>
      <c r="C56" s="36">
        <f>IF(OR(C55&lt;30,C55=""),"",'Metric Calcs'!C52)</f>
        <v>1092.2</v>
      </c>
      <c r="D56" s="80">
        <f>IF(C56=0,"",'Metric Calcs'!D52)</f>
        <v>8.8808730284581333E-2</v>
      </c>
      <c r="E56" s="80">
        <f>IF(OR(E54=1,E54=""),"",IF('Metric Data'!$B$2,'Metric Calcs'!E52,'Metric Calcs'!F52))</f>
        <v>1.8210077870593196E-2</v>
      </c>
      <c r="F56" s="30">
        <f>IF(OR(F54=1,F54=""),"",IF('Metric Data'!$B$2,'Metric Calcs'!F52,'Metric Calcs'!H52))</f>
        <v>8.880873028458133</v>
      </c>
      <c r="G56" s="30">
        <f>IF(OR(G54=1,G54=""),"",IF('Metric Data'!$B$2,'Metric Calcs'!G52,'Metric Calcs'!K52))</f>
        <v>0.18210077870593197</v>
      </c>
      <c r="H56" s="30">
        <f>IF(OR(H54=1,H54=""),"",IF('Metric Data'!$B$2,'Metric Calcs'!H52,'Metric Calcs'!N52))</f>
        <v>2.3692104771343736</v>
      </c>
      <c r="I56" s="30">
        <f>IF(OR(I54=1,I54=""),"",IF('Metric Data'!$B$2,'Metric Calcs'!K52,'Metric Calcs'!W52))</f>
        <v>11.432184284298438</v>
      </c>
      <c r="J56" s="30">
        <f>IF('Metric Data'!$B$2,'Metric Calcs'!N52,"")</f>
        <v>480.57368845533063</v>
      </c>
      <c r="K56" s="30">
        <f>IF('Metric Data'!$B$2,'Metric Calcs'!W52,"")</f>
        <v>101.09220000000001</v>
      </c>
      <c r="L56" s="37">
        <f>IF('Metric Data'!$B$2,J56,H56)</f>
        <v>480.57368845533063</v>
      </c>
      <c r="M56" s="112">
        <f>IF('Metric Data'!$B$2,K56,I56)</f>
        <v>101.09220000000001</v>
      </c>
      <c r="O56" s="32">
        <f t="shared" si="2"/>
        <v>101.09220000000001</v>
      </c>
      <c r="Q56" s="112">
        <f t="shared" si="5"/>
        <v>1.092199999999997</v>
      </c>
      <c r="R56" s="32">
        <f t="shared" si="6"/>
        <v>1.092199999999997</v>
      </c>
      <c r="S56" s="32">
        <f t="shared" si="7"/>
        <v>450.0859954447364</v>
      </c>
      <c r="U56" s="32">
        <f t="shared" si="3"/>
        <v>1</v>
      </c>
      <c r="X56" s="30" t="str" cm="1">
        <f t="array" ref="X56">IF($AP$21="INVERT",R56,IF(X55&gt;=$S$12,"",IF(R55="","",INDEX($R$18:$R$227,$U$17-ROWS($R$18:$R55)))))</f>
        <v/>
      </c>
      <c r="Y56" s="30" t="str">
        <f t="shared" si="8"/>
        <v/>
      </c>
      <c r="Z56" s="30" t="str">
        <f>IF(Z55="","",IF($AP$21="TYP",IF(S55="","",INDEX($S$18:$S$227,$U$17-ROWS($S$18:$S55))),IF($AP$21="INVERT",S56,"")))</f>
        <v/>
      </c>
      <c r="AA56" s="75" t="str">
        <f t="shared" si="4"/>
        <v/>
      </c>
      <c r="AB56" s="75"/>
      <c r="AC56" s="35"/>
      <c r="AD56" s="35"/>
      <c r="AE56" s="35"/>
      <c r="AF56" s="35"/>
      <c r="AG56" s="35"/>
      <c r="AH56" s="35"/>
      <c r="AI56" s="35"/>
      <c r="AJ56" s="35"/>
      <c r="AK56" s="35"/>
      <c r="AL56" s="35"/>
      <c r="AM56" s="35"/>
    </row>
    <row r="57" spans="1:39" x14ac:dyDescent="0.2">
      <c r="A57" s="32">
        <f t="shared" si="1"/>
        <v>57</v>
      </c>
      <c r="C57" s="36">
        <f>IF(OR(C56&lt;30,C56=""),"",'Metric Calcs'!C53)</f>
        <v>1066.8</v>
      </c>
      <c r="D57" s="80">
        <f>IF(C57=0,"",'Metric Calcs'!D53)</f>
        <v>9.0379990655528902E-2</v>
      </c>
      <c r="E57" s="80">
        <f>IF(OR(E55=1,E55=""),"",IF('Metric Data'!$B$2,'Metric Calcs'!E53,'Metric Calcs'!F53))</f>
        <v>1.917885742602295E-2</v>
      </c>
      <c r="F57" s="30">
        <f>IF(OR(F55=1,F55=""),"",IF('Metric Data'!$B$2,'Metric Calcs'!F53,'Metric Calcs'!H53))</f>
        <v>9.0379990655528903</v>
      </c>
      <c r="G57" s="30">
        <f>IF(OR(G55=1,G55=""),"",IF('Metric Data'!$B$2,'Metric Calcs'!G53,'Metric Calcs'!K53))</f>
        <v>0.19178857426022949</v>
      </c>
      <c r="H57" s="30">
        <f>IF(OR(H55=1,H55=""),"",IF('Metric Data'!$B$2,'Metric Calcs'!H53,'Metric Calcs'!N53))</f>
        <v>2.3024849440747519</v>
      </c>
      <c r="I57" s="30">
        <f>IF(OR(I55=1,I55=""),"",IF('Metric Data'!$B$2,'Metric Calcs'!K53,'Metric Calcs'!W53))</f>
        <v>11.532272583887872</v>
      </c>
      <c r="J57" s="30">
        <f>IF('Metric Data'!$B$2,'Metric Calcs'!N53,"")</f>
        <v>469.14150417103218</v>
      </c>
      <c r="K57" s="30">
        <f>IF('Metric Data'!$B$2,'Metric Calcs'!W53,"")</f>
        <v>101.0668</v>
      </c>
      <c r="L57" s="37">
        <f>IF('Metric Data'!$B$2,J57,H57)</f>
        <v>469.14150417103218</v>
      </c>
      <c r="M57" s="112">
        <f>IF('Metric Data'!$B$2,K57,I57)</f>
        <v>101.0668</v>
      </c>
      <c r="O57" s="32">
        <f t="shared" si="2"/>
        <v>101.0668</v>
      </c>
      <c r="Q57" s="112">
        <f t="shared" si="5"/>
        <v>1.0667999999999969</v>
      </c>
      <c r="R57" s="32">
        <f t="shared" si="6"/>
        <v>1.0667999999999969</v>
      </c>
      <c r="S57" s="32">
        <f t="shared" si="7"/>
        <v>454.0264796805389</v>
      </c>
      <c r="U57" s="32">
        <f t="shared" si="3"/>
        <v>1</v>
      </c>
      <c r="X57" s="30" t="str" cm="1">
        <f t="array" ref="X57">IF($AP$21="INVERT",R57,IF(X56&gt;=$S$12,"",IF(R56="","",INDEX($R$18:$R$227,$U$17-ROWS($R$18:$R56)))))</f>
        <v/>
      </c>
      <c r="Y57" s="30" t="str">
        <f t="shared" si="8"/>
        <v/>
      </c>
      <c r="Z57" s="30" t="str">
        <f>IF(Z56="","",IF($AP$21="TYP",IF(S56="","",INDEX($S$18:$S$227,$U$17-ROWS($S$18:$S56))),IF($AP$21="INVERT",S57,"")))</f>
        <v/>
      </c>
      <c r="AA57" s="75" t="str">
        <f t="shared" si="4"/>
        <v/>
      </c>
      <c r="AB57" s="75"/>
      <c r="AC57" s="35"/>
      <c r="AD57" s="35"/>
      <c r="AE57" s="35"/>
      <c r="AF57" s="35"/>
      <c r="AG57" s="35"/>
      <c r="AH57" s="35"/>
      <c r="AI57" s="35"/>
      <c r="AJ57" s="35"/>
      <c r="AK57" s="35"/>
      <c r="AL57" s="35"/>
      <c r="AM57" s="35"/>
    </row>
    <row r="58" spans="1:39" x14ac:dyDescent="0.2">
      <c r="A58" s="32">
        <f t="shared" si="1"/>
        <v>58</v>
      </c>
      <c r="C58" s="36">
        <f>IF(OR(C57&lt;30,C57=""),"",'Metric Calcs'!C54)</f>
        <v>1041.3999999999999</v>
      </c>
      <c r="D58" s="80">
        <f>IF(C58=0,"",'Metric Calcs'!D54)</f>
        <v>9.1887799235452552E-2</v>
      </c>
      <c r="E58" s="80">
        <f>IF(OR(E56=1,E56=""),"",IF('Metric Data'!$B$2,'Metric Calcs'!E54,'Metric Calcs'!F54))</f>
        <v>1.9816775307942812E-2</v>
      </c>
      <c r="F58" s="30">
        <f>IF(OR(F56=1,F56=""),"",IF('Metric Data'!$B$2,'Metric Calcs'!F54,'Metric Calcs'!H54))</f>
        <v>9.1887799235452547</v>
      </c>
      <c r="G58" s="30">
        <f>IF(OR(G56=1,G56=""),"",IF('Metric Data'!$B$2,'Metric Calcs'!G54,'Metric Calcs'!K54))</f>
        <v>0.19816775307942813</v>
      </c>
      <c r="H58" s="30">
        <f>IF(OR(H56=1,H56=""),"",IF('Metric Data'!$B$2,'Metric Calcs'!H54,'Metric Calcs'!N54))</f>
        <v>2.2396209293501266</v>
      </c>
      <c r="I58" s="30">
        <f>IF(OR(I56=1,I56=""),"",IF('Metric Data'!$B$2,'Metric Calcs'!K54,'Metric Calcs'!W54))</f>
        <v>11.626568605974809</v>
      </c>
      <c r="J58" s="30">
        <f>IF('Metric Data'!$B$2,'Metric Calcs'!N54,"")</f>
        <v>457.60923158714434</v>
      </c>
      <c r="K58" s="30">
        <f>IF('Metric Data'!$B$2,'Metric Calcs'!W54,"")</f>
        <v>101.0414</v>
      </c>
      <c r="L58" s="37">
        <f>IF('Metric Data'!$B$2,J58,H58)</f>
        <v>457.60923158714434</v>
      </c>
      <c r="M58" s="112">
        <f>IF('Metric Data'!$B$2,K58,I58)</f>
        <v>101.0414</v>
      </c>
      <c r="O58" s="32">
        <f t="shared" si="2"/>
        <v>101.0414</v>
      </c>
      <c r="Q58" s="112">
        <f t="shared" si="5"/>
        <v>1.0413999999999968</v>
      </c>
      <c r="R58" s="32">
        <f t="shared" si="6"/>
        <v>1.0413999999999968</v>
      </c>
      <c r="S58" s="32">
        <f t="shared" si="7"/>
        <v>457.73892149524119</v>
      </c>
      <c r="U58" s="32">
        <f t="shared" si="3"/>
        <v>1</v>
      </c>
      <c r="X58" s="30" t="str" cm="1">
        <f t="array" ref="X58">IF($AP$21="INVERT",R58,IF(X57&gt;=$S$12,"",IF(R57="","",INDEX($R$18:$R$227,$U$17-ROWS($R$18:$R57)))))</f>
        <v/>
      </c>
      <c r="Y58" s="30" t="str">
        <f t="shared" si="8"/>
        <v/>
      </c>
      <c r="Z58" s="30" t="str">
        <f>IF(Z57="","",IF($AP$21="TYP",IF(S57="","",INDEX($S$18:$S$227,$U$17-ROWS($S$18:$S57))),IF($AP$21="INVERT",S58,"")))</f>
        <v/>
      </c>
      <c r="AA58" s="75" t="str">
        <f t="shared" si="4"/>
        <v/>
      </c>
      <c r="AB58" s="75"/>
      <c r="AC58" s="35"/>
      <c r="AD58" s="35"/>
      <c r="AE58" s="35"/>
      <c r="AF58" s="35"/>
      <c r="AG58" s="35"/>
      <c r="AH58" s="35"/>
      <c r="AI58" s="35"/>
      <c r="AJ58" s="35"/>
      <c r="AK58" s="35"/>
      <c r="AL58" s="35"/>
      <c r="AM58" s="35"/>
    </row>
    <row r="59" spans="1:39" x14ac:dyDescent="0.2">
      <c r="A59" s="32">
        <f t="shared" si="1"/>
        <v>59</v>
      </c>
      <c r="C59" s="36">
        <f>IF(OR(C58&lt;30,C58=""),"",'Metric Calcs'!C55)</f>
        <v>1016</v>
      </c>
      <c r="D59" s="80">
        <f>IF(C59=0,"",'Metric Calcs'!D55)</f>
        <v>9.3340449100948505E-2</v>
      </c>
      <c r="E59" s="80">
        <f>IF(OR(E57=1,E57=""),"",IF('Metric Data'!$B$2,'Metric Calcs'!E55,'Metric Calcs'!F55))</f>
        <v>2.0455900891972287E-2</v>
      </c>
      <c r="F59" s="30">
        <f>IF(OR(F57=1,F57=""),"",IF('Metric Data'!$B$2,'Metric Calcs'!F55,'Metric Calcs'!H55))</f>
        <v>9.3340449100948497</v>
      </c>
      <c r="G59" s="30">
        <f>IF(OR(G57=1,G57=""),"",IF('Metric Data'!$B$2,'Metric Calcs'!G55,'Metric Calcs'!K55))</f>
        <v>0.20455900891972287</v>
      </c>
      <c r="H59" s="30">
        <f>IF(OR(H57=1,H57=""),"",IF('Metric Data'!$B$2,'Metric Calcs'!H55,'Metric Calcs'!N55))</f>
        <v>2.1789584323941704</v>
      </c>
      <c r="I59" s="30">
        <f>IF(OR(I57=1,I57=""),"",IF('Metric Data'!$B$2,'Metric Calcs'!K55,'Metric Calcs'!W55))</f>
        <v>11.717562351408743</v>
      </c>
      <c r="J59" s="30">
        <f>IF('Metric Data'!$B$2,'Metric Calcs'!N55,"")</f>
        <v>445.98266298116954</v>
      </c>
      <c r="K59" s="30">
        <f>IF('Metric Data'!$B$2,'Metric Calcs'!W55,"")</f>
        <v>101.01600000000001</v>
      </c>
      <c r="L59" s="37">
        <f>IF('Metric Data'!$B$2,J59,H59)</f>
        <v>445.98266298116954</v>
      </c>
      <c r="M59" s="112">
        <f>IF('Metric Data'!$B$2,K59,I59)</f>
        <v>101.01600000000001</v>
      </c>
      <c r="O59" s="32">
        <f t="shared" si="2"/>
        <v>101.01600000000001</v>
      </c>
      <c r="Q59" s="112">
        <f t="shared" si="5"/>
        <v>1.0159999999999967</v>
      </c>
      <c r="R59" s="32">
        <f t="shared" si="6"/>
        <v>1.0159999999999967</v>
      </c>
      <c r="S59" s="32">
        <f t="shared" si="7"/>
        <v>461.32135241758027</v>
      </c>
      <c r="U59" s="32">
        <f t="shared" si="3"/>
        <v>1</v>
      </c>
      <c r="X59" s="30" t="str" cm="1">
        <f t="array" ref="X59">IF($AP$21="INVERT",R59,IF(X58&gt;=$S$12,"",IF(R58="","",INDEX($R$18:$R$227,$U$17-ROWS($R$18:$R58)))))</f>
        <v/>
      </c>
      <c r="Y59" s="30" t="str">
        <f t="shared" si="8"/>
        <v/>
      </c>
      <c r="Z59" s="30" t="str">
        <f>IF(Z58="","",IF($AP$21="TYP",IF(S58="","",INDEX($S$18:$S$227,$U$17-ROWS($S$18:$S58))),IF($AP$21="INVERT",S59,"")))</f>
        <v/>
      </c>
      <c r="AA59" s="75" t="str">
        <f t="shared" si="4"/>
        <v/>
      </c>
      <c r="AB59" s="75"/>
      <c r="AC59" s="35"/>
      <c r="AD59" s="35"/>
      <c r="AE59" s="35"/>
      <c r="AF59" s="35"/>
      <c r="AG59" s="35"/>
      <c r="AH59" s="35"/>
      <c r="AI59" s="35"/>
      <c r="AJ59" s="35"/>
      <c r="AK59" s="35"/>
      <c r="AL59" s="35"/>
      <c r="AM59" s="35"/>
    </row>
    <row r="60" spans="1:39" x14ac:dyDescent="0.2">
      <c r="A60" s="32">
        <f t="shared" si="1"/>
        <v>60</v>
      </c>
      <c r="C60" s="36">
        <f>IF(OR(C59&lt;30,C59=""),"",'Metric Calcs'!C56)</f>
        <v>990.59999999999991</v>
      </c>
      <c r="D60" s="80">
        <f>IF(C60=0,"",'Metric Calcs'!D56)</f>
        <v>9.4736398697437357E-2</v>
      </c>
      <c r="E60" s="80">
        <f>IF(OR(E58=1,E58=""),"",IF('Metric Data'!$B$2,'Metric Calcs'!E56,'Metric Calcs'!F56))</f>
        <v>2.1059807730426115E-2</v>
      </c>
      <c r="F60" s="30">
        <f>IF(OR(F58=1,F58=""),"",IF('Metric Data'!$B$2,'Metric Calcs'!F56,'Metric Calcs'!H56))</f>
        <v>9.4736398697437352</v>
      </c>
      <c r="G60" s="30">
        <f>IF(OR(G58=1,G58=""),"",IF('Metric Data'!$B$2,'Metric Calcs'!G56,'Metric Calcs'!K56))</f>
        <v>0.21059807730426117</v>
      </c>
      <c r="H60" s="30">
        <f>IF(OR(H58=1,H58=""),"",IF('Metric Data'!$B$2,'Metric Calcs'!H56,'Metric Calcs'!N56))</f>
        <v>2.1207048211808011</v>
      </c>
      <c r="I60" s="30">
        <f>IF(OR(I58=1,I58=""),"",IF('Metric Data'!$B$2,'Metric Calcs'!K56,'Metric Calcs'!W56))</f>
        <v>11.804942768228798</v>
      </c>
      <c r="J60" s="30">
        <f>IF('Metric Data'!$B$2,'Metric Calcs'!N56,"")</f>
        <v>434.26510062976081</v>
      </c>
      <c r="K60" s="30">
        <f>IF('Metric Data'!$B$2,'Metric Calcs'!W56,"")</f>
        <v>100.9906</v>
      </c>
      <c r="L60" s="37">
        <f>IF('Metric Data'!$B$2,J60,H60)</f>
        <v>434.26510062976081</v>
      </c>
      <c r="M60" s="112">
        <f>IF('Metric Data'!$B$2,K60,I60)</f>
        <v>100.9906</v>
      </c>
      <c r="O60" s="32">
        <f t="shared" si="2"/>
        <v>100.9906</v>
      </c>
      <c r="Q60" s="112">
        <f t="shared" si="5"/>
        <v>0.99059999999999671</v>
      </c>
      <c r="R60" s="32">
        <f t="shared" si="6"/>
        <v>0.99059999999999671</v>
      </c>
      <c r="S60" s="32">
        <f t="shared" si="7"/>
        <v>464.76152630813289</v>
      </c>
      <c r="U60" s="32">
        <f t="shared" si="3"/>
        <v>1</v>
      </c>
      <c r="X60" s="30" t="str" cm="1">
        <f t="array" ref="X60">IF($AP$21="INVERT",R60,IF(X59&gt;=$S$12,"",IF(R59="","",INDEX($R$18:$R$227,$U$17-ROWS($R$18:$R59)))))</f>
        <v/>
      </c>
      <c r="Y60" s="30" t="str">
        <f t="shared" si="8"/>
        <v/>
      </c>
      <c r="Z60" s="30" t="str">
        <f>IF(Z59="","",IF($AP$21="TYP",IF(S59="","",INDEX($S$18:$S$227,$U$17-ROWS($S$18:$S59))),IF($AP$21="INVERT",S60,"")))</f>
        <v/>
      </c>
      <c r="AA60" s="75" t="str">
        <f t="shared" si="4"/>
        <v/>
      </c>
      <c r="AB60" s="75"/>
      <c r="AC60" s="35"/>
      <c r="AD60" s="35"/>
      <c r="AE60" s="35"/>
      <c r="AF60" s="35"/>
      <c r="AG60" s="35"/>
      <c r="AH60" s="35"/>
      <c r="AI60" s="35"/>
      <c r="AJ60" s="35"/>
      <c r="AK60" s="35"/>
      <c r="AL60" s="35"/>
      <c r="AM60" s="35"/>
    </row>
    <row r="61" spans="1:39" x14ac:dyDescent="0.2">
      <c r="A61" s="32">
        <f t="shared" si="1"/>
        <v>61</v>
      </c>
      <c r="C61" s="36">
        <f>IF(OR(C60&lt;30,C60=""),"",'Metric Calcs'!C57)</f>
        <v>965.19999999999993</v>
      </c>
      <c r="D61" s="80">
        <f>IF(C61=0,"",'Metric Calcs'!D57)</f>
        <v>9.6081268016423776E-2</v>
      </c>
      <c r="E61" s="80">
        <f>IF(OR(E59=1,E59=""),"",IF('Metric Data'!$B$2,'Metric Calcs'!E57,'Metric Calcs'!F57))</f>
        <v>2.1647063570720639E-2</v>
      </c>
      <c r="F61" s="30">
        <f>IF(OR(F59=1,F59=""),"",IF('Metric Data'!$B$2,'Metric Calcs'!F57,'Metric Calcs'!H57))</f>
        <v>9.6081268016423778</v>
      </c>
      <c r="G61" s="30">
        <f>IF(OR(G59=1,G59=""),"",IF('Metric Data'!$B$2,'Metric Calcs'!G57,'Metric Calcs'!K57))</f>
        <v>0.21647063570720637</v>
      </c>
      <c r="H61" s="30">
        <f>IF(OR(H59=1,H59=""),"",IF('Metric Data'!$B$2,'Metric Calcs'!H57,'Metric Calcs'!N57))</f>
        <v>2.0645610250601658</v>
      </c>
      <c r="I61" s="30">
        <f>IF(OR(I59=1,I59=""),"",IF('Metric Data'!$B$2,'Metric Calcs'!K57,'Metric Calcs'!W57))</f>
        <v>11.88915846240975</v>
      </c>
      <c r="J61" s="30">
        <f>IF('Metric Data'!$B$2,'Metric Calcs'!N57,"")</f>
        <v>422.46015786153202</v>
      </c>
      <c r="K61" s="30">
        <f>IF('Metric Data'!$B$2,'Metric Calcs'!W57,"")</f>
        <v>100.9652</v>
      </c>
      <c r="L61" s="37">
        <f>IF('Metric Data'!$B$2,J61,H61)</f>
        <v>422.46015786153202</v>
      </c>
      <c r="M61" s="112">
        <f>IF('Metric Data'!$B$2,K61,I61)</f>
        <v>100.9652</v>
      </c>
      <c r="O61" s="32">
        <f t="shared" si="2"/>
        <v>100.9652</v>
      </c>
      <c r="Q61" s="112">
        <f t="shared" si="5"/>
        <v>0.96519999999999673</v>
      </c>
      <c r="R61" s="32">
        <f t="shared" si="6"/>
        <v>0.96519999999999673</v>
      </c>
      <c r="S61" s="32">
        <f t="shared" si="7"/>
        <v>468.07710481945537</v>
      </c>
      <c r="U61" s="32">
        <f t="shared" si="3"/>
        <v>1</v>
      </c>
      <c r="X61" s="30" t="str" cm="1">
        <f t="array" ref="X61">IF($AP$21="INVERT",R61,IF(X60&gt;=$S$12,"",IF(R60="","",INDEX($R$18:$R$227,$U$17-ROWS($R$18:$R60)))))</f>
        <v/>
      </c>
      <c r="Y61" s="30" t="str">
        <f t="shared" si="8"/>
        <v/>
      </c>
      <c r="Z61" s="30" t="str">
        <f>IF(Z60="","",IF($AP$21="TYP",IF(S60="","",INDEX($S$18:$S$227,$U$17-ROWS($S$18:$S60))),IF($AP$21="INVERT",S61,"")))</f>
        <v/>
      </c>
      <c r="AA61" s="75" t="str">
        <f t="shared" si="4"/>
        <v/>
      </c>
      <c r="AB61" s="75"/>
      <c r="AC61" s="35"/>
      <c r="AD61" s="35"/>
      <c r="AE61" s="35"/>
      <c r="AF61" s="35"/>
      <c r="AG61" s="35"/>
      <c r="AH61" s="35"/>
      <c r="AI61" s="35"/>
      <c r="AJ61" s="35"/>
      <c r="AK61" s="35"/>
      <c r="AL61" s="35"/>
      <c r="AM61" s="35"/>
    </row>
    <row r="62" spans="1:39" x14ac:dyDescent="0.2">
      <c r="A62" s="32">
        <f t="shared" si="1"/>
        <v>62</v>
      </c>
      <c r="C62" s="36">
        <f>IF(OR(C61&lt;30,C61=""),"",'Metric Calcs'!C58)</f>
        <v>939.8</v>
      </c>
      <c r="D62" s="80">
        <f>IF(C62=0,"",'Metric Calcs'!D58)</f>
        <v>9.7376511963754783E-2</v>
      </c>
      <c r="E62" s="80">
        <f>IF(OR(E60=1,E60=""),"",IF('Metric Data'!$B$2,'Metric Calcs'!E58,'Metric Calcs'!F58))</f>
        <v>2.2243212232762297E-2</v>
      </c>
      <c r="F62" s="30">
        <f>IF(OR(F60=1,F60=""),"",IF('Metric Data'!$B$2,'Metric Calcs'!F58,'Metric Calcs'!H58))</f>
        <v>9.737651196375479</v>
      </c>
      <c r="G62" s="30">
        <f>IF(OR(G60=1,G60=""),"",IF('Metric Data'!$B$2,'Metric Calcs'!G58,'Metric Calcs'!K58))</f>
        <v>0.22243212232762297</v>
      </c>
      <c r="H62" s="30">
        <f>IF(OR(H60=1,H60=""),"",IF('Metric Data'!$B$2,'Metric Calcs'!H58,'Metric Calcs'!N58))</f>
        <v>2.0103666725187588</v>
      </c>
      <c r="I62" s="30">
        <f>IF(OR(I60=1,I60=""),"",IF('Metric Data'!$B$2,'Metric Calcs'!K58,'Metric Calcs'!W58))</f>
        <v>11.97044999122186</v>
      </c>
      <c r="J62" s="30">
        <f>IF('Metric Data'!$B$2,'Metric Calcs'!N58,"")</f>
        <v>410.57099939912229</v>
      </c>
      <c r="K62" s="30">
        <f>IF('Metric Data'!$B$2,'Metric Calcs'!W58,"")</f>
        <v>100.93980000000001</v>
      </c>
      <c r="L62" s="37">
        <f>IF('Metric Data'!$B$2,J62,H62)</f>
        <v>410.57099939912229</v>
      </c>
      <c r="M62" s="112">
        <f>IF('Metric Data'!$B$2,K62,I62)</f>
        <v>100.93980000000001</v>
      </c>
      <c r="O62" s="32">
        <f t="shared" si="2"/>
        <v>100.93980000000001</v>
      </c>
      <c r="Q62" s="112">
        <f t="shared" si="5"/>
        <v>0.93979999999999675</v>
      </c>
      <c r="R62" s="32">
        <f t="shared" si="6"/>
        <v>0.93979999999999675</v>
      </c>
      <c r="S62" s="32">
        <f t="shared" si="7"/>
        <v>471.27755870943423</v>
      </c>
      <c r="U62" s="32">
        <f t="shared" si="3"/>
        <v>1</v>
      </c>
      <c r="X62" s="30" t="str" cm="1">
        <f t="array" ref="X62">IF($AP$21="INVERT",R62,IF(X61&gt;=$S$12,"",IF(R61="","",INDEX($R$18:$R$227,$U$17-ROWS($R$18:$R61)))))</f>
        <v/>
      </c>
      <c r="Y62" s="30" t="str">
        <f t="shared" si="8"/>
        <v/>
      </c>
      <c r="Z62" s="30" t="str">
        <f>IF(Z61="","",IF($AP$21="TYP",IF(S61="","",INDEX($S$18:$S$227,$U$17-ROWS($S$18:$S61))),IF($AP$21="INVERT",S62,"")))</f>
        <v/>
      </c>
      <c r="AA62" s="75" t="str">
        <f t="shared" si="4"/>
        <v/>
      </c>
      <c r="AB62" s="75"/>
      <c r="AC62" s="35"/>
      <c r="AD62" s="35"/>
      <c r="AE62" s="35"/>
      <c r="AF62" s="35"/>
      <c r="AG62" s="35"/>
      <c r="AH62" s="35"/>
      <c r="AI62" s="35"/>
      <c r="AJ62" s="35"/>
      <c r="AK62" s="35"/>
      <c r="AL62" s="35"/>
      <c r="AM62" s="35"/>
    </row>
    <row r="63" spans="1:39" x14ac:dyDescent="0.2">
      <c r="A63" s="32">
        <f t="shared" si="1"/>
        <v>63</v>
      </c>
      <c r="C63" s="36">
        <f>IF(OR(C62&lt;30,C62=""),"",'Metric Calcs'!C59)</f>
        <v>914.4</v>
      </c>
      <c r="D63" s="80">
        <f>IF(C63=0,"",'Metric Calcs'!D59)</f>
        <v>9.8623255840294188E-2</v>
      </c>
      <c r="E63" s="80">
        <f>IF(OR(E61=1,E61=""),"",IF('Metric Data'!$B$2,'Metric Calcs'!E59,'Metric Calcs'!F59))</f>
        <v>2.2729755911085982E-2</v>
      </c>
      <c r="F63" s="30">
        <f>IF(OR(F61=1,F61=""),"",IF('Metric Data'!$B$2,'Metric Calcs'!F59,'Metric Calcs'!H59))</f>
        <v>9.8623255840294188</v>
      </c>
      <c r="G63" s="30">
        <f>IF(OR(G61=1,G61=""),"",IF('Metric Data'!$B$2,'Metric Calcs'!G59,'Metric Calcs'!K59))</f>
        <v>0.2272975591108598</v>
      </c>
      <c r="H63" s="30">
        <f>IF(OR(H61=1,H61=""),"",IF('Metric Data'!$B$2,'Metric Calcs'!H59,'Metric Calcs'!N59))</f>
        <v>1.9585507427438884</v>
      </c>
      <c r="I63" s="30">
        <f>IF(OR(I61=1,I61=""),"",IF('Metric Data'!$B$2,'Metric Calcs'!K59,'Metric Calcs'!W59))</f>
        <v>12.048173885884166</v>
      </c>
      <c r="J63" s="30">
        <f>IF('Metric Data'!$B$2,'Metric Calcs'!N59,"")</f>
        <v>398.60054940790042</v>
      </c>
      <c r="K63" s="30">
        <f>IF('Metric Data'!$B$2,'Metric Calcs'!W59,"")</f>
        <v>100.9144</v>
      </c>
      <c r="L63" s="37">
        <f>IF('Metric Data'!$B$2,J63,H63)</f>
        <v>398.60054940790042</v>
      </c>
      <c r="M63" s="112">
        <f>IF('Metric Data'!$B$2,K63,I63)</f>
        <v>100.9144</v>
      </c>
      <c r="O63" s="32">
        <f t="shared" si="2"/>
        <v>100.9144</v>
      </c>
      <c r="Q63" s="112">
        <f t="shared" si="5"/>
        <v>0.91439999999999677</v>
      </c>
      <c r="R63" s="32">
        <f t="shared" si="6"/>
        <v>0.91439999999999677</v>
      </c>
      <c r="S63" s="32">
        <f t="shared" si="7"/>
        <v>474.33755456228062</v>
      </c>
      <c r="U63" s="32">
        <f t="shared" si="3"/>
        <v>1</v>
      </c>
      <c r="X63" s="30" t="str" cm="1">
        <f t="array" ref="X63">IF($AP$21="INVERT",R63,IF(X62&gt;=$S$12,"",IF(R62="","",INDEX($R$18:$R$227,$U$17-ROWS($R$18:$R62)))))</f>
        <v/>
      </c>
      <c r="Y63" s="30" t="str">
        <f t="shared" si="8"/>
        <v/>
      </c>
      <c r="Z63" s="30" t="str">
        <f>IF(Z62="","",IF($AP$21="TYP",IF(S62="","",INDEX($S$18:$S$227,$U$17-ROWS($S$18:$S62))),IF($AP$21="INVERT",S63,"")))</f>
        <v/>
      </c>
      <c r="AA63" s="75" t="str">
        <f t="shared" si="4"/>
        <v/>
      </c>
      <c r="AB63" s="75"/>
      <c r="AC63" s="35"/>
      <c r="AD63" s="35"/>
      <c r="AE63" s="35"/>
      <c r="AF63" s="35"/>
      <c r="AG63" s="35"/>
      <c r="AH63" s="35"/>
      <c r="AI63" s="35"/>
      <c r="AJ63" s="35"/>
      <c r="AK63" s="35"/>
      <c r="AL63" s="35"/>
      <c r="AM63" s="35"/>
    </row>
    <row r="64" spans="1:39" x14ac:dyDescent="0.2">
      <c r="A64" s="32">
        <f t="shared" si="1"/>
        <v>64</v>
      </c>
      <c r="C64" s="36">
        <f>IF(OR(C63&lt;30,C63=""),"",'Metric Calcs'!C60)</f>
        <v>889</v>
      </c>
      <c r="D64" s="80">
        <f>IF(C64=0,"",'Metric Calcs'!D60)</f>
        <v>9.9826056349992934E-2</v>
      </c>
      <c r="E64" s="80">
        <f>IF(OR(E62=1,E62=""),"",IF('Metric Data'!$B$2,'Metric Calcs'!E60,'Metric Calcs'!F60))</f>
        <v>2.3218160838170698E-2</v>
      </c>
      <c r="F64" s="30">
        <f>IF(OR(F62=1,F62=""),"",IF('Metric Data'!$B$2,'Metric Calcs'!F60,'Metric Calcs'!H60))</f>
        <v>9.9826056349992935</v>
      </c>
      <c r="G64" s="30">
        <f>IF(OR(G62=1,G62=""),"",IF('Metric Data'!$B$2,'Metric Calcs'!G60,'Metric Calcs'!K60))</f>
        <v>0.23218160838170698</v>
      </c>
      <c r="H64" s="30">
        <f>IF(OR(H62=1,H62=""),"",IF('Metric Data'!$B$2,'Metric Calcs'!H60,'Metric Calcs'!N60))</f>
        <v>1.9084851026475995</v>
      </c>
      <c r="I64" s="30">
        <f>IF(OR(I62=1,I62=""),"",IF('Metric Data'!$B$2,'Metric Calcs'!K60,'Metric Calcs'!W60))</f>
        <v>12.1232723460286</v>
      </c>
      <c r="J64" s="30">
        <f>IF('Metric Data'!$B$2,'Metric Calcs'!N60,"")</f>
        <v>386.55237552201623</v>
      </c>
      <c r="K64" s="30">
        <f>IF('Metric Data'!$B$2,'Metric Calcs'!W60,"")</f>
        <v>100.889</v>
      </c>
      <c r="L64" s="37">
        <f>IF('Metric Data'!$B$2,J64,H64)</f>
        <v>386.55237552201623</v>
      </c>
      <c r="M64" s="112">
        <f>IF('Metric Data'!$B$2,K64,I64)</f>
        <v>100.889</v>
      </c>
      <c r="O64" s="32">
        <f t="shared" si="2"/>
        <v>100.889</v>
      </c>
      <c r="Q64" s="112">
        <f t="shared" si="5"/>
        <v>0.88899999999999679</v>
      </c>
      <c r="R64" s="32">
        <f t="shared" si="6"/>
        <v>0.88899999999999679</v>
      </c>
      <c r="S64" s="32">
        <f t="shared" si="7"/>
        <v>477.29418685169799</v>
      </c>
      <c r="U64" s="32">
        <f t="shared" si="3"/>
        <v>1</v>
      </c>
      <c r="X64" s="30" t="str" cm="1">
        <f t="array" ref="X64">IF($AP$21="INVERT",R64,IF(X63&gt;=$S$12,"",IF(R63="","",INDEX($R$18:$R$227,$U$17-ROWS($R$18:$R63)))))</f>
        <v/>
      </c>
      <c r="Y64" s="30" t="str">
        <f t="shared" si="8"/>
        <v/>
      </c>
      <c r="Z64" s="30" t="str">
        <f>IF(Z63="","",IF($AP$21="TYP",IF(S63="","",INDEX($S$18:$S$227,$U$17-ROWS($S$18:$S63))),IF($AP$21="INVERT",S64,"")))</f>
        <v/>
      </c>
      <c r="AA64" s="75" t="str">
        <f t="shared" si="4"/>
        <v/>
      </c>
      <c r="AB64" s="75"/>
      <c r="AC64" s="35"/>
      <c r="AD64" s="35"/>
      <c r="AE64" s="35"/>
      <c r="AF64" s="35"/>
      <c r="AG64" s="35"/>
      <c r="AH64" s="35"/>
      <c r="AI64" s="35"/>
      <c r="AJ64" s="35"/>
      <c r="AK64" s="35"/>
      <c r="AL64" s="35"/>
      <c r="AM64" s="35"/>
    </row>
    <row r="65" spans="1:39" x14ac:dyDescent="0.2">
      <c r="A65" s="32">
        <f t="shared" si="1"/>
        <v>65</v>
      </c>
      <c r="C65" s="36">
        <f>IF(OR(C64&lt;30,C64=""),"",'Metric Calcs'!C61)</f>
        <v>863.59999999999991</v>
      </c>
      <c r="D65" s="80">
        <f>IF(C65=0,"",'Metric Calcs'!D61)</f>
        <v>0.10098182755203165</v>
      </c>
      <c r="E65" s="80">
        <f>IF(OR(E63=1,E63=""),"",IF('Metric Data'!$B$2,'Metric Calcs'!E61,'Metric Calcs'!F61))</f>
        <v>2.3743714285714271E-2</v>
      </c>
      <c r="F65" s="30">
        <f>IF(OR(F63=1,F63=""),"",IF('Metric Data'!$B$2,'Metric Calcs'!F61,'Metric Calcs'!H61))</f>
        <v>10.098182755203165</v>
      </c>
      <c r="G65" s="30">
        <f>IF(OR(G63=1,G63=""),"",IF('Metric Data'!$B$2,'Metric Calcs'!G61,'Metric Calcs'!K61))</f>
        <v>0.23743714285714271</v>
      </c>
      <c r="H65" s="30">
        <f>IF(OR(H63=1,H63=""),"",IF('Metric Data'!$B$2,'Metric Calcs'!H61,'Metric Calcs'!N61))</f>
        <v>1.8601520407758763</v>
      </c>
      <c r="I65" s="30">
        <f>IF(OR(I63=1,I63=""),"",IF('Metric Data'!$B$2,'Metric Calcs'!K61,'Metric Calcs'!W61))</f>
        <v>12.195771938836184</v>
      </c>
      <c r="J65" s="30">
        <f>IF('Metric Data'!$B$2,'Metric Calcs'!N61,"")</f>
        <v>374.42910317598762</v>
      </c>
      <c r="K65" s="30">
        <f>IF('Metric Data'!$B$2,'Metric Calcs'!W61,"")</f>
        <v>100.86360000000001</v>
      </c>
      <c r="L65" s="37">
        <f>IF('Metric Data'!$B$2,J65,H65)</f>
        <v>374.42910317598762</v>
      </c>
      <c r="M65" s="112">
        <f>IF('Metric Data'!$B$2,K65,I65)</f>
        <v>100.86360000000001</v>
      </c>
      <c r="O65" s="32">
        <f t="shared" si="2"/>
        <v>100.86360000000001</v>
      </c>
      <c r="Q65" s="112">
        <f t="shared" si="5"/>
        <v>0.86359999999999681</v>
      </c>
      <c r="R65" s="32">
        <f t="shared" si="6"/>
        <v>0.86359999999999681</v>
      </c>
      <c r="S65" s="32">
        <f t="shared" si="7"/>
        <v>480.14850152889341</v>
      </c>
      <c r="U65" s="32">
        <f t="shared" si="3"/>
        <v>1</v>
      </c>
      <c r="X65" s="30" t="str" cm="1">
        <f t="array" ref="X65">IF($AP$21="INVERT",R65,IF(X64&gt;=$S$12,"",IF(R64="","",INDEX($R$18:$R$227,$U$17-ROWS($R$18:$R64)))))</f>
        <v/>
      </c>
      <c r="Y65" s="30" t="str">
        <f t="shared" si="8"/>
        <v/>
      </c>
      <c r="Z65" s="30" t="str">
        <f>IF(Z64="","",IF($AP$21="TYP",IF(S64="","",INDEX($S$18:$S$227,$U$17-ROWS($S$18:$S64))),IF($AP$21="INVERT",S65,"")))</f>
        <v/>
      </c>
      <c r="AA65" s="75" t="str">
        <f t="shared" si="4"/>
        <v/>
      </c>
      <c r="AB65" s="75"/>
      <c r="AC65" s="35"/>
      <c r="AD65" s="35"/>
      <c r="AE65" s="35"/>
      <c r="AF65" s="35"/>
      <c r="AG65" s="35"/>
      <c r="AH65" s="35"/>
      <c r="AI65" s="35"/>
      <c r="AJ65" s="35"/>
      <c r="AK65" s="35"/>
      <c r="AL65" s="35"/>
      <c r="AM65" s="35"/>
    </row>
    <row r="66" spans="1:39" x14ac:dyDescent="0.2">
      <c r="A66" s="32">
        <f t="shared" si="1"/>
        <v>66</v>
      </c>
      <c r="C66" s="36">
        <f>IF(OR(C65&lt;30,C65=""),"",'Metric Calcs'!C62)</f>
        <v>838.19999999999993</v>
      </c>
      <c r="D66" s="80">
        <f>IF(C66=0,"",'Metric Calcs'!D62)</f>
        <v>0.10209779442163418</v>
      </c>
      <c r="E66" s="80">
        <f>IF(OR(E64=1,E64=""),"",IF('Metric Data'!$B$2,'Metric Calcs'!E62,'Metric Calcs'!F62))</f>
        <v>2.4104535466515645E-2</v>
      </c>
      <c r="F66" s="30">
        <f>IF(OR(F64=1,F64=""),"",IF('Metric Data'!$B$2,'Metric Calcs'!F62,'Metric Calcs'!H62))</f>
        <v>10.209779442163418</v>
      </c>
      <c r="G66" s="30">
        <f>IF(OR(G64=1,G64=""),"",IF('Metric Data'!$B$2,'Metric Calcs'!G62,'Metric Calcs'!K62))</f>
        <v>0.24104535466515645</v>
      </c>
      <c r="H66" s="30">
        <f>IF(OR(H64=1,H64=""),"",IF('Metric Data'!$B$2,'Metric Calcs'!H62,'Metric Calcs'!N62))</f>
        <v>1.8140700812685702</v>
      </c>
      <c r="I66" s="30">
        <f>IF(OR(I64=1,I64=""),"",IF('Metric Data'!$B$2,'Metric Calcs'!K62,'Metric Calcs'!W62))</f>
        <v>12.264894878097143</v>
      </c>
      <c r="J66" s="30">
        <f>IF('Metric Data'!$B$2,'Metric Calcs'!N62,"")</f>
        <v>362.23333123715145</v>
      </c>
      <c r="K66" s="30">
        <f>IF('Metric Data'!$B$2,'Metric Calcs'!W62,"")</f>
        <v>100.8382</v>
      </c>
      <c r="L66" s="37">
        <f>IF('Metric Data'!$B$2,J66,H66)</f>
        <v>362.23333123715145</v>
      </c>
      <c r="M66" s="112">
        <f>IF('Metric Data'!$B$2,K66,I66)</f>
        <v>100.8382</v>
      </c>
      <c r="O66" s="32">
        <f t="shared" si="2"/>
        <v>100.8382</v>
      </c>
      <c r="Q66" s="112">
        <f t="shared" si="5"/>
        <v>0.83819999999999684</v>
      </c>
      <c r="R66" s="32">
        <f t="shared" si="6"/>
        <v>0.83819999999999684</v>
      </c>
      <c r="S66" s="32">
        <f t="shared" si="7"/>
        <v>482.86987709034872</v>
      </c>
      <c r="U66" s="32">
        <f t="shared" si="3"/>
        <v>1</v>
      </c>
      <c r="X66" s="30" t="str" cm="1">
        <f t="array" ref="X66">IF($AP$21="INVERT",R66,IF(X65&gt;=$S$12,"",IF(R65="","",INDEX($R$18:$R$227,$U$17-ROWS($R$18:$R65)))))</f>
        <v/>
      </c>
      <c r="Y66" s="30" t="str">
        <f t="shared" si="8"/>
        <v/>
      </c>
      <c r="Z66" s="30" t="str">
        <f>IF(Z65="","",IF($AP$21="TYP",IF(S65="","",INDEX($S$18:$S$227,$U$17-ROWS($S$18:$S65))),IF($AP$21="INVERT",S66,"")))</f>
        <v/>
      </c>
      <c r="AA66" s="75" t="str">
        <f t="shared" si="4"/>
        <v/>
      </c>
      <c r="AB66" s="75"/>
      <c r="AC66" s="35"/>
      <c r="AD66" s="35"/>
      <c r="AE66" s="35"/>
      <c r="AF66" s="35"/>
      <c r="AG66" s="35"/>
      <c r="AH66" s="35"/>
      <c r="AI66" s="35"/>
      <c r="AJ66" s="35"/>
      <c r="AK66" s="35"/>
      <c r="AL66" s="35"/>
      <c r="AM66" s="35"/>
    </row>
    <row r="67" spans="1:39" x14ac:dyDescent="0.2">
      <c r="A67" s="32">
        <f t="shared" si="1"/>
        <v>67</v>
      </c>
      <c r="C67" s="36">
        <f>IF(OR(C66&lt;30,C66=""),"",'Metric Calcs'!C63)</f>
        <v>812.8</v>
      </c>
      <c r="D67" s="80">
        <f>IF(C67=0,"",'Metric Calcs'!D63)</f>
        <v>0.10317083703808551</v>
      </c>
      <c r="E67" s="80">
        <f>IF(OR(E65=1,E65=""),"",IF('Metric Data'!$B$2,'Metric Calcs'!E63,'Metric Calcs'!F63))</f>
        <v>2.4338602010477144E-2</v>
      </c>
      <c r="F67" s="30">
        <f>IF(OR(F65=1,F65=""),"",IF('Metric Data'!$B$2,'Metric Calcs'!F63,'Metric Calcs'!H63))</f>
        <v>10.317083703808551</v>
      </c>
      <c r="G67" s="30">
        <f>IF(OR(G65=1,G65=""),"",IF('Metric Data'!$B$2,'Metric Calcs'!G63,'Metric Calcs'!K63))</f>
        <v>0.24338602010477145</v>
      </c>
      <c r="H67" s="30">
        <f>IF(OR(H65=1,H65=""),"",IF('Metric Data'!$B$2,'Metric Calcs'!H63,'Metric Calcs'!N63))</f>
        <v>1.7702121104346702</v>
      </c>
      <c r="I67" s="30">
        <f>IF(OR(I65=1,I65=""),"",IF('Metric Data'!$B$2,'Metric Calcs'!K63,'Metric Calcs'!W63))</f>
        <v>12.330681834347994</v>
      </c>
      <c r="J67" s="30">
        <f>IF('Metric Data'!$B$2,'Metric Calcs'!N63,"")</f>
        <v>349.96843635905429</v>
      </c>
      <c r="K67" s="30">
        <f>IF('Metric Data'!$B$2,'Metric Calcs'!W63,"")</f>
        <v>100.8128</v>
      </c>
      <c r="L67" s="37">
        <f>IF('Metric Data'!$B$2,J67,H67)</f>
        <v>349.96843635905429</v>
      </c>
      <c r="M67" s="112">
        <f>IF('Metric Data'!$B$2,K67,I67)</f>
        <v>100.8128</v>
      </c>
      <c r="O67" s="32">
        <f t="shared" si="2"/>
        <v>100.8128</v>
      </c>
      <c r="Q67" s="112">
        <f t="shared" si="5"/>
        <v>0.81279999999999686</v>
      </c>
      <c r="R67" s="32">
        <f t="shared" si="6"/>
        <v>0.81279999999999686</v>
      </c>
      <c r="S67" s="32">
        <f t="shared" si="7"/>
        <v>485.45991473829156</v>
      </c>
      <c r="U67" s="32">
        <f t="shared" si="3"/>
        <v>1</v>
      </c>
      <c r="X67" s="30" t="str" cm="1">
        <f t="array" ref="X67">IF($AP$21="INVERT",R67,IF(X66&gt;=$S$12,"",IF(R66="","",INDEX($R$18:$R$227,$U$17-ROWS($R$18:$R66)))))</f>
        <v/>
      </c>
      <c r="Y67" s="30" t="str">
        <f t="shared" si="8"/>
        <v/>
      </c>
      <c r="Z67" s="30" t="str">
        <f>IF(Z66="","",IF($AP$21="TYP",IF(S66="","",INDEX($S$18:$S$227,$U$17-ROWS($S$18:$S66))),IF($AP$21="INVERT",S67,"")))</f>
        <v/>
      </c>
      <c r="AA67" s="75" t="str">
        <f t="shared" si="4"/>
        <v/>
      </c>
      <c r="AB67" s="75"/>
      <c r="AC67" s="35"/>
      <c r="AD67" s="35"/>
      <c r="AE67" s="35"/>
      <c r="AF67" s="35"/>
      <c r="AG67" s="35"/>
      <c r="AH67" s="35"/>
      <c r="AI67" s="35"/>
      <c r="AJ67" s="35"/>
      <c r="AK67" s="35"/>
      <c r="AL67" s="35"/>
      <c r="AM67" s="35"/>
    </row>
    <row r="68" spans="1:39" x14ac:dyDescent="0.2">
      <c r="A68" s="32">
        <f t="shared" si="1"/>
        <v>68</v>
      </c>
      <c r="C68" s="36">
        <f>IF(OR(C67&lt;30,C67=""),"",'Metric Calcs'!C64)</f>
        <v>787.4</v>
      </c>
      <c r="D68" s="80">
        <f>IF(C68=0,"",'Metric Calcs'!D64)</f>
        <v>0.10420340365283906</v>
      </c>
      <c r="E68" s="80">
        <f>IF(OR(E66=1,E66=""),"",IF('Metric Data'!$B$2,'Metric Calcs'!E64,'Metric Calcs'!F64))</f>
        <v>2.5186301288404416E-2</v>
      </c>
      <c r="F68" s="30">
        <f>IF(OR(F66=1,F66=""),"",IF('Metric Data'!$B$2,'Metric Calcs'!F64,'Metric Calcs'!H64))</f>
        <v>10.420340365283906</v>
      </c>
      <c r="G68" s="30">
        <f>IF(OR(G66=1,G66=""),"",IF('Metric Data'!$B$2,'Metric Calcs'!G64,'Metric Calcs'!K64))</f>
        <v>0.25186301288404417</v>
      </c>
      <c r="H68" s="30">
        <f>IF(OR(H66=1,H66=""),"",IF('Metric Data'!$B$2,'Metric Calcs'!H64,'Metric Calcs'!N64))</f>
        <v>1.7255186487328196</v>
      </c>
      <c r="I68" s="30">
        <f>IF(OR(I66=1,I66=""),"",IF('Metric Data'!$B$2,'Metric Calcs'!K64,'Metric Calcs'!W64))</f>
        <v>12.39772202690077</v>
      </c>
      <c r="J68" s="30">
        <f>IF('Metric Data'!$B$2,'Metric Calcs'!N64,"")</f>
        <v>337.63775452470628</v>
      </c>
      <c r="K68" s="30">
        <f>IF('Metric Data'!$B$2,'Metric Calcs'!W64,"")</f>
        <v>100.78740000000001</v>
      </c>
      <c r="L68" s="37">
        <f>IF('Metric Data'!$B$2,J68,H68)</f>
        <v>337.63775452470628</v>
      </c>
      <c r="M68" s="112">
        <f>IF('Metric Data'!$B$2,K68,I68)</f>
        <v>100.78740000000001</v>
      </c>
      <c r="O68" s="32">
        <f t="shared" si="2"/>
        <v>100.78740000000001</v>
      </c>
      <c r="Q68" s="112">
        <f t="shared" si="5"/>
        <v>0.78739999999999688</v>
      </c>
      <c r="R68" s="32">
        <f t="shared" si="6"/>
        <v>0.78739999999999688</v>
      </c>
      <c r="S68" s="32">
        <f t="shared" si="7"/>
        <v>488.09929239757776</v>
      </c>
      <c r="U68" s="32">
        <f t="shared" si="3"/>
        <v>1</v>
      </c>
      <c r="X68" s="30" t="str" cm="1">
        <f t="array" ref="X68">IF($AP$21="INVERT",R68,IF(X67&gt;=$S$12,"",IF(R67="","",INDEX($R$18:$R$227,$U$17-ROWS($R$18:$R67)))))</f>
        <v/>
      </c>
      <c r="Y68" s="30" t="str">
        <f t="shared" si="8"/>
        <v/>
      </c>
      <c r="Z68" s="30" t="str">
        <f>IF(Z67="","",IF($AP$21="TYP",IF(S67="","",INDEX($S$18:$S$227,$U$17-ROWS($S$18:$S67))),IF($AP$21="INVERT",S68,"")))</f>
        <v/>
      </c>
      <c r="AA68" s="75" t="str">
        <f t="shared" si="4"/>
        <v/>
      </c>
      <c r="AB68" s="75"/>
      <c r="AC68" s="35"/>
      <c r="AD68" s="35"/>
      <c r="AE68" s="35"/>
      <c r="AF68" s="35"/>
      <c r="AG68" s="35"/>
      <c r="AH68" s="35"/>
      <c r="AI68" s="35"/>
      <c r="AJ68" s="35"/>
      <c r="AK68" s="35"/>
      <c r="AL68" s="35"/>
      <c r="AM68" s="35"/>
    </row>
    <row r="69" spans="1:39" x14ac:dyDescent="0.2">
      <c r="A69" s="32">
        <f t="shared" si="1"/>
        <v>69</v>
      </c>
      <c r="C69" s="36">
        <f>IF(OR(C68&lt;30,C68=""),"",'Metric Calcs'!C65)</f>
        <v>762</v>
      </c>
      <c r="D69" s="80">
        <f>IF(C69=0,"",'Metric Calcs'!D65)</f>
        <v>0.10519599575251305</v>
      </c>
      <c r="E69" s="80">
        <f>IF(OR(E67=1,E67=""),"",IF('Metric Data'!$B$2,'Metric Calcs'!E65,'Metric Calcs'!F65))</f>
        <v>2.5605019396856839E-2</v>
      </c>
      <c r="F69" s="30">
        <f>IF(OR(F67=1,F67=""),"",IF('Metric Data'!$B$2,'Metric Calcs'!F65,'Metric Calcs'!H65))</f>
        <v>10.519599575251306</v>
      </c>
      <c r="G69" s="30">
        <f>IF(OR(G67=1,G67=""),"",IF('Metric Data'!$B$2,'Metric Calcs'!G65,'Metric Calcs'!K65))</f>
        <v>0.25605019396856837</v>
      </c>
      <c r="H69" s="30">
        <f>IF(OR(H67=1,H67=""),"",IF('Metric Data'!$B$2,'Metric Calcs'!H65,'Metric Calcs'!N65))</f>
        <v>1.6841400923120504</v>
      </c>
      <c r="I69" s="30">
        <f>IF(OR(I67=1,I67=""),"",IF('Metric Data'!$B$2,'Metric Calcs'!K65,'Metric Calcs'!W65))</f>
        <v>12.459789861531924</v>
      </c>
      <c r="J69" s="30">
        <f>IF('Metric Data'!$B$2,'Metric Calcs'!N65,"")</f>
        <v>325.24003249780549</v>
      </c>
      <c r="K69" s="30">
        <f>IF('Metric Data'!$B$2,'Metric Calcs'!W65,"")</f>
        <v>100.762</v>
      </c>
      <c r="L69" s="37">
        <f>IF('Metric Data'!$B$2,J69,H69)</f>
        <v>325.24003249780549</v>
      </c>
      <c r="M69" s="112">
        <f>IF('Metric Data'!$B$2,K69,I69)</f>
        <v>100.762</v>
      </c>
      <c r="O69" s="32">
        <f t="shared" si="2"/>
        <v>100.762</v>
      </c>
      <c r="Q69" s="112">
        <f t="shared" si="5"/>
        <v>0.7619999999999969</v>
      </c>
      <c r="R69" s="32">
        <f t="shared" si="6"/>
        <v>0.7619999999999969</v>
      </c>
      <c r="S69" s="32">
        <f t="shared" si="7"/>
        <v>490.54290793423621</v>
      </c>
      <c r="U69" s="32">
        <f t="shared" si="3"/>
        <v>1</v>
      </c>
      <c r="X69" s="30" t="str" cm="1">
        <f t="array" ref="X69">IF($AP$21="INVERT",R69,IF(X68&gt;=$S$12,"",IF(R68="","",INDEX($R$18:$R$227,$U$17-ROWS($R$18:$R68)))))</f>
        <v/>
      </c>
      <c r="Y69" s="30" t="str">
        <f t="shared" si="8"/>
        <v/>
      </c>
      <c r="Z69" s="30" t="str">
        <f>IF(Z68="","",IF($AP$21="TYP",IF(S68="","",INDEX($S$18:$S$227,$U$17-ROWS($S$18:$S68))),IF($AP$21="INVERT",S69,"")))</f>
        <v/>
      </c>
      <c r="AA69" s="75" t="str">
        <f t="shared" si="4"/>
        <v/>
      </c>
      <c r="AB69" s="75"/>
      <c r="AC69" s="35"/>
      <c r="AD69" s="35"/>
      <c r="AE69" s="35"/>
      <c r="AF69" s="35"/>
      <c r="AG69" s="35"/>
      <c r="AH69" s="35"/>
      <c r="AI69" s="35"/>
      <c r="AJ69" s="35"/>
      <c r="AK69" s="35"/>
      <c r="AL69" s="35"/>
      <c r="AM69" s="35"/>
    </row>
    <row r="70" spans="1:39" x14ac:dyDescent="0.2">
      <c r="A70" s="32">
        <f t="shared" si="1"/>
        <v>70</v>
      </c>
      <c r="C70" s="36">
        <f>IF(OR(C69&lt;30,C69=""),"",'Metric Calcs'!C66)</f>
        <v>736.59999999999991</v>
      </c>
      <c r="D70" s="80">
        <f>IF(C70=0,"",'Metric Calcs'!D66)</f>
        <v>0.10615008806456175</v>
      </c>
      <c r="E70" s="80">
        <f>IF(OR(E68=1,E68=""),"",IF('Metric Data'!$B$2,'Metric Calcs'!E66,'Metric Calcs'!F66))</f>
        <v>2.5973384114398999E-2</v>
      </c>
      <c r="F70" s="30">
        <f>IF(OR(F68=1,F68=""),"",IF('Metric Data'!$B$2,'Metric Calcs'!F66,'Metric Calcs'!H66))</f>
        <v>10.615008806456174</v>
      </c>
      <c r="G70" s="30">
        <f>IF(OR(G68=1,G68=""),"",IF('Metric Data'!$B$2,'Metric Calcs'!G66,'Metric Calcs'!K66))</f>
        <v>0.25973384114399001</v>
      </c>
      <c r="H70" s="30">
        <f>IF(OR(H68=1,H68=""),"",IF('Metric Data'!$B$2,'Metric Calcs'!H66,'Metric Calcs'!N66))</f>
        <v>1.6445029409599337</v>
      </c>
      <c r="I70" s="30">
        <f>IF(OR(I68=1,I68=""),"",IF('Metric Data'!$B$2,'Metric Calcs'!K66,'Metric Calcs'!W66))</f>
        <v>12.519245588560098</v>
      </c>
      <c r="J70" s="30">
        <f>IF('Metric Data'!$B$2,'Metric Calcs'!N66,"")</f>
        <v>312.78024263627356</v>
      </c>
      <c r="K70" s="30">
        <f>IF('Metric Data'!$B$2,'Metric Calcs'!W66,"")</f>
        <v>100.7366</v>
      </c>
      <c r="L70" s="37">
        <f>IF('Metric Data'!$B$2,J70,H70)</f>
        <v>312.78024263627356</v>
      </c>
      <c r="M70" s="112">
        <f>IF('Metric Data'!$B$2,K70,I70)</f>
        <v>100.7366</v>
      </c>
      <c r="O70" s="32">
        <f t="shared" si="2"/>
        <v>100.7366</v>
      </c>
      <c r="Q70" s="112">
        <f t="shared" si="5"/>
        <v>0.73659999999999692</v>
      </c>
      <c r="R70" s="32">
        <f t="shared" si="6"/>
        <v>0.73659999999999692</v>
      </c>
      <c r="S70" s="32">
        <f t="shared" si="7"/>
        <v>492.88368458916483</v>
      </c>
      <c r="U70" s="32">
        <f t="shared" si="3"/>
        <v>1</v>
      </c>
      <c r="X70" s="30" t="str" cm="1">
        <f t="array" ref="X70">IF($AP$21="INVERT",R70,IF(X69&gt;=$S$12,"",IF(R69="","",INDEX($R$18:$R$227,$U$17-ROWS($R$18:$R69)))))</f>
        <v/>
      </c>
      <c r="Y70" s="30" t="str">
        <f t="shared" si="8"/>
        <v/>
      </c>
      <c r="Z70" s="30" t="str">
        <f>IF(Z69="","",IF($AP$21="TYP",IF(S69="","",INDEX($S$18:$S$227,$U$17-ROWS($S$18:$S69))),IF($AP$21="INVERT",S70,"")))</f>
        <v/>
      </c>
      <c r="AA70" s="75" t="str">
        <f t="shared" si="4"/>
        <v/>
      </c>
      <c r="AB70" s="75"/>
      <c r="AC70" s="35"/>
      <c r="AD70" s="35"/>
      <c r="AE70" s="35"/>
      <c r="AF70" s="35"/>
      <c r="AG70" s="35"/>
      <c r="AH70" s="35"/>
      <c r="AI70" s="35"/>
      <c r="AJ70" s="35"/>
      <c r="AK70" s="35"/>
      <c r="AL70" s="35"/>
      <c r="AM70" s="35"/>
    </row>
    <row r="71" spans="1:39" x14ac:dyDescent="0.2">
      <c r="A71" s="32">
        <f t="shared" si="1"/>
        <v>71</v>
      </c>
      <c r="C71" s="36">
        <f>IF(OR(C70&lt;30,C70=""),"",'Metric Calcs'!C67)</f>
        <v>711.19999999999993</v>
      </c>
      <c r="D71" s="80">
        <f>IF(C71=0,"",'Metric Calcs'!D67)</f>
        <v>0.1070649432252584</v>
      </c>
      <c r="E71" s="80">
        <f>IF(OR(E69=1,E69=""),"",IF('Metric Data'!$B$2,'Metric Calcs'!E67,'Metric Calcs'!F67))</f>
        <v>2.6045918731417268E-2</v>
      </c>
      <c r="F71" s="30">
        <f>IF(OR(F69=1,F69=""),"",IF('Metric Data'!$B$2,'Metric Calcs'!F67,'Metric Calcs'!H67))</f>
        <v>10.70649432252584</v>
      </c>
      <c r="G71" s="30">
        <f>IF(OR(G69=1,G69=""),"",IF('Metric Data'!$B$2,'Metric Calcs'!G67,'Metric Calcs'!K67))</f>
        <v>0.26045918731417267</v>
      </c>
      <c r="H71" s="30">
        <f>IF(OR(H69=1,H69=""),"",IF('Metric Data'!$B$2,'Metric Calcs'!H67,'Metric Calcs'!N67))</f>
        <v>1.6076185960639948</v>
      </c>
      <c r="I71" s="30">
        <f>IF(OR(I69=1,I69=""),"",IF('Metric Data'!$B$2,'Metric Calcs'!K67,'Metric Calcs'!W67))</f>
        <v>12.574572105904007</v>
      </c>
      <c r="J71" s="30">
        <f>IF('Metric Data'!$B$2,'Metric Calcs'!N67,"")</f>
        <v>300.26099704771343</v>
      </c>
      <c r="K71" s="30">
        <f>IF('Metric Data'!$B$2,'Metric Calcs'!W67,"")</f>
        <v>100.71120000000001</v>
      </c>
      <c r="L71" s="37">
        <f>IF('Metric Data'!$B$2,J71,H71)</f>
        <v>300.26099704771343</v>
      </c>
      <c r="M71" s="112">
        <f>IF('Metric Data'!$B$2,K71,I71)</f>
        <v>100.71120000000001</v>
      </c>
      <c r="O71" s="32">
        <f t="shared" si="2"/>
        <v>100.71120000000001</v>
      </c>
      <c r="Q71" s="112">
        <f t="shared" si="5"/>
        <v>0.71119999999999695</v>
      </c>
      <c r="R71" s="32">
        <f t="shared" si="6"/>
        <v>0.71119999999999695</v>
      </c>
      <c r="S71" s="32">
        <f t="shared" si="7"/>
        <v>495.06189393313559</v>
      </c>
      <c r="U71" s="32">
        <f t="shared" si="3"/>
        <v>1</v>
      </c>
      <c r="X71" s="30" t="str" cm="1">
        <f t="array" ref="X71">IF($AP$21="INVERT",R71,IF(X70&gt;=$S$12,"",IF(R70="","",INDEX($R$18:$R$227,$U$17-ROWS($R$18:$R70)))))</f>
        <v/>
      </c>
      <c r="Y71" s="30" t="str">
        <f t="shared" si="8"/>
        <v/>
      </c>
      <c r="Z71" s="30" t="str">
        <f>IF(Z70="","",IF($AP$21="TYP",IF(S70="","",INDEX($S$18:$S$227,$U$17-ROWS($S$18:$S70))),IF($AP$21="INVERT",S71,"")))</f>
        <v/>
      </c>
      <c r="AA71" s="75" t="str">
        <f t="shared" si="4"/>
        <v/>
      </c>
      <c r="AB71" s="75"/>
      <c r="AC71" s="35"/>
      <c r="AD71" s="35"/>
      <c r="AE71" s="35"/>
      <c r="AF71" s="35"/>
      <c r="AG71" s="35"/>
      <c r="AH71" s="35"/>
      <c r="AI71" s="35"/>
      <c r="AJ71" s="35"/>
      <c r="AK71" s="35"/>
      <c r="AL71" s="35"/>
      <c r="AM71" s="35"/>
    </row>
    <row r="72" spans="1:39" x14ac:dyDescent="0.2">
      <c r="A72" s="32">
        <f t="shared" si="1"/>
        <v>72</v>
      </c>
      <c r="C72" s="36">
        <f>IF(OR(C71&lt;30,C71=""),"",'Metric Calcs'!C68)</f>
        <v>685.8</v>
      </c>
      <c r="D72" s="80">
        <f>IF(C72=0,"",'Metric Calcs'!D68)</f>
        <v>0.10794410845249905</v>
      </c>
      <c r="E72" s="80">
        <f>IF(OR(E70=1,E70=""),"",IF('Metric Data'!$B$2,'Metric Calcs'!E68,'Metric Calcs'!F68))</f>
        <v>2.6714145547217814E-2</v>
      </c>
      <c r="F72" s="30">
        <f>IF(OR(F70=1,F70=""),"",IF('Metric Data'!$B$2,'Metric Calcs'!F68,'Metric Calcs'!H68))</f>
        <v>10.794410845249905</v>
      </c>
      <c r="G72" s="30">
        <f>IF(OR(G70=1,G70=""),"",IF('Metric Data'!$B$2,'Metric Calcs'!G68,'Metric Calcs'!K68))</f>
        <v>0.26714145547217816</v>
      </c>
      <c r="H72" s="30">
        <f>IF(OR(H70=1,H70=""),"",IF('Metric Data'!$B$2,'Metric Calcs'!H68,'Metric Calcs'!N68))</f>
        <v>1.5697790797111666</v>
      </c>
      <c r="I72" s="30">
        <f>IF(OR(I70=1,I70=""),"",IF('Metric Data'!$B$2,'Metric Calcs'!K68,'Metric Calcs'!W68))</f>
        <v>12.631331380433249</v>
      </c>
      <c r="J72" s="30">
        <f>IF('Metric Data'!$B$2,'Metric Calcs'!N68,"")</f>
        <v>287.68642494180943</v>
      </c>
      <c r="K72" s="30">
        <f>IF('Metric Data'!$B$2,'Metric Calcs'!W68,"")</f>
        <v>100.6858</v>
      </c>
      <c r="L72" s="37">
        <f>IF('Metric Data'!$B$2,J72,H72)</f>
        <v>287.68642494180943</v>
      </c>
      <c r="M72" s="112">
        <f>IF('Metric Data'!$B$2,K72,I72)</f>
        <v>100.6858</v>
      </c>
      <c r="O72" s="32">
        <f t="shared" si="2"/>
        <v>100.6858</v>
      </c>
      <c r="Q72" s="112">
        <f t="shared" si="5"/>
        <v>0.68579999999999697</v>
      </c>
      <c r="R72" s="32">
        <f t="shared" si="6"/>
        <v>0.68579999999999697</v>
      </c>
      <c r="S72" s="32">
        <f t="shared" si="7"/>
        <v>497.29651104058672</v>
      </c>
      <c r="U72" s="32">
        <f t="shared" si="3"/>
        <v>1</v>
      </c>
      <c r="X72" s="30" t="str" cm="1">
        <f t="array" ref="X72">IF($AP$21="INVERT",R72,IF(X71&gt;=$S$12,"",IF(R71="","",INDEX($R$18:$R$227,$U$17-ROWS($R$18:$R71)))))</f>
        <v/>
      </c>
      <c r="Y72" s="30" t="str">
        <f t="shared" si="8"/>
        <v/>
      </c>
      <c r="Z72" s="30" t="str">
        <f>IF(Z71="","",IF($AP$21="TYP",IF(S71="","",INDEX($S$18:$S$227,$U$17-ROWS($S$18:$S71))),IF($AP$21="INVERT",S72,"")))</f>
        <v/>
      </c>
      <c r="AA72" s="75" t="str">
        <f t="shared" si="4"/>
        <v/>
      </c>
      <c r="AB72" s="75"/>
      <c r="AC72" s="35"/>
      <c r="AD72" s="35"/>
      <c r="AE72" s="35"/>
      <c r="AF72" s="35"/>
      <c r="AG72" s="35"/>
      <c r="AH72" s="35"/>
      <c r="AI72" s="35"/>
      <c r="AJ72" s="35"/>
      <c r="AK72" s="35"/>
      <c r="AL72" s="35"/>
      <c r="AM72" s="35"/>
    </row>
    <row r="73" spans="1:39" x14ac:dyDescent="0.2">
      <c r="A73" s="32">
        <f t="shared" si="1"/>
        <v>73</v>
      </c>
      <c r="C73" s="36">
        <f>IF(OR(C72&lt;30,C72=""),"",'Metric Calcs'!C69)</f>
        <v>660.4</v>
      </c>
      <c r="D73" s="80">
        <f>IF(C73=0,"",'Metric Calcs'!D69)</f>
        <v>0.10878360356788869</v>
      </c>
      <c r="E73" s="80">
        <f>IF(OR(E71=1,E71=""),"",IF('Metric Data'!$B$2,'Metric Calcs'!E69,'Metric Calcs'!F69))</f>
        <v>2.7080302704233328E-2</v>
      </c>
      <c r="F73" s="30">
        <f>IF(OR(F71=1,F71=""),"",IF('Metric Data'!$B$2,'Metric Calcs'!F69,'Metric Calcs'!H69))</f>
        <v>10.878360356788869</v>
      </c>
      <c r="G73" s="30">
        <f>IF(OR(G71=1,G71=""),"",IF('Metric Data'!$B$2,'Metric Calcs'!G69,'Metric Calcs'!K69))</f>
        <v>0.27080302704233328</v>
      </c>
      <c r="H73" s="30">
        <f>IF(OR(H71=1,H71=""),"",IF('Metric Data'!$B$2,'Metric Calcs'!H69,'Metric Calcs'!N69))</f>
        <v>1.5347346464675184</v>
      </c>
      <c r="I73" s="30">
        <f>IF(OR(I71=1,I71=""),"",IF('Metric Data'!$B$2,'Metric Calcs'!K69,'Metric Calcs'!W69))</f>
        <v>12.683898030298721</v>
      </c>
      <c r="J73" s="30">
        <f>IF('Metric Data'!$B$2,'Metric Calcs'!N69,"")</f>
        <v>275.05509356137617</v>
      </c>
      <c r="K73" s="30">
        <f>IF('Metric Data'!$B$2,'Metric Calcs'!W69,"")</f>
        <v>100.6604</v>
      </c>
      <c r="L73" s="37">
        <f>IF('Metric Data'!$B$2,J73,H73)</f>
        <v>275.05509356137617</v>
      </c>
      <c r="M73" s="112">
        <f>IF('Metric Data'!$B$2,K73,I73)</f>
        <v>100.6604</v>
      </c>
      <c r="O73" s="32">
        <f t="shared" si="2"/>
        <v>100.6604</v>
      </c>
      <c r="Q73" s="112">
        <f t="shared" si="5"/>
        <v>0.66039999999999699</v>
      </c>
      <c r="R73" s="32">
        <f t="shared" si="6"/>
        <v>0.66039999999999699</v>
      </c>
      <c r="S73" s="32">
        <f t="shared" si="7"/>
        <v>499.36606418517556</v>
      </c>
      <c r="U73" s="32">
        <f t="shared" si="3"/>
        <v>1</v>
      </c>
      <c r="X73" s="30" t="str" cm="1">
        <f t="array" ref="X73">IF($AP$21="INVERT",R73,IF(X72&gt;=$S$12,"",IF(R72="","",INDEX($R$18:$R$227,$U$17-ROWS($R$18:$R72)))))</f>
        <v/>
      </c>
      <c r="Y73" s="30" t="str">
        <f t="shared" si="8"/>
        <v/>
      </c>
      <c r="Z73" s="30" t="str">
        <f>IF(Z72="","",IF($AP$21="TYP",IF(S72="","",INDEX($S$18:$S$227,$U$17-ROWS($S$18:$S72))),IF($AP$21="INVERT",S73,"")))</f>
        <v/>
      </c>
      <c r="AA73" s="75" t="str">
        <f t="shared" si="4"/>
        <v/>
      </c>
      <c r="AB73" s="75"/>
      <c r="AC73" s="35"/>
      <c r="AD73" s="35"/>
      <c r="AE73" s="35"/>
      <c r="AF73" s="35"/>
      <c r="AG73" s="35"/>
      <c r="AH73" s="35"/>
      <c r="AI73" s="35"/>
      <c r="AJ73" s="35"/>
      <c r="AK73" s="35"/>
      <c r="AL73" s="35"/>
      <c r="AM73" s="35"/>
    </row>
    <row r="74" spans="1:39" x14ac:dyDescent="0.2">
      <c r="A74" s="32">
        <f t="shared" si="1"/>
        <v>74</v>
      </c>
      <c r="C74" s="36">
        <f>IF(OR(C73&lt;30,C73=""),"",'Metric Calcs'!C70)</f>
        <v>635</v>
      </c>
      <c r="D74" s="80">
        <f>IF(C74=0,"",'Metric Calcs'!D70)</f>
        <v>0.1095897460002833</v>
      </c>
      <c r="E74" s="80">
        <f>IF(OR(E72=1,E72=""),"",IF('Metric Data'!$B$2,'Metric Calcs'!E70,'Metric Calcs'!F70))</f>
        <v>2.7428602576808753E-2</v>
      </c>
      <c r="F74" s="30">
        <f>IF(OR(F72=1,F72=""),"",IF('Metric Data'!$B$2,'Metric Calcs'!F70,'Metric Calcs'!H70))</f>
        <v>10.958974600028331</v>
      </c>
      <c r="G74" s="30">
        <f>IF(OR(G72=1,G72=""),"",IF('Metric Data'!$B$2,'Metric Calcs'!G70,'Metric Calcs'!K70))</f>
        <v>0.27428602576808753</v>
      </c>
      <c r="H74" s="30">
        <f>IF(OR(H72=1,H72=""),"",IF('Metric Data'!$B$2,'Metric Calcs'!H70,'Metric Calcs'!N70))</f>
        <v>1.5010957496814321</v>
      </c>
      <c r="I74" s="30">
        <f>IF(OR(I72=1,I72=""),"",IF('Metric Data'!$B$2,'Metric Calcs'!K70,'Metric Calcs'!W70))</f>
        <v>12.734356375477851</v>
      </c>
      <c r="J74" s="30">
        <f>IF('Metric Data'!$B$2,'Metric Calcs'!N70,"")</f>
        <v>262.37119553107743</v>
      </c>
      <c r="K74" s="30">
        <f>IF('Metric Data'!$B$2,'Metric Calcs'!W70,"")</f>
        <v>100.63500000000001</v>
      </c>
      <c r="L74" s="37">
        <f>IF('Metric Data'!$B$2,J74,H74)</f>
        <v>262.37119553107743</v>
      </c>
      <c r="M74" s="112">
        <f>IF('Metric Data'!$B$2,K74,I74)</f>
        <v>100.63500000000001</v>
      </c>
      <c r="O74" s="32">
        <f t="shared" si="2"/>
        <v>100.63500000000001</v>
      </c>
      <c r="Q74" s="112">
        <f t="shared" si="5"/>
        <v>0.63499999999999701</v>
      </c>
      <c r="R74" s="32">
        <f t="shared" si="6"/>
        <v>0.63499999999999701</v>
      </c>
      <c r="S74" s="32">
        <f t="shared" si="7"/>
        <v>501.35261320769479</v>
      </c>
      <c r="U74" s="32">
        <f t="shared" si="3"/>
        <v>1</v>
      </c>
      <c r="X74" s="30" t="str" cm="1">
        <f t="array" ref="X74">IF($AP$21="INVERT",R74,IF(X73&gt;=$S$12,"",IF(R73="","",INDEX($R$18:$R$227,$U$17-ROWS($R$18:$R73)))))</f>
        <v/>
      </c>
      <c r="Y74" s="30" t="str">
        <f t="shared" si="8"/>
        <v/>
      </c>
      <c r="Z74" s="30" t="str">
        <f>IF(Z73="","",IF($AP$21="TYP",IF(S73="","",INDEX($S$18:$S$227,$U$17-ROWS($S$18:$S73))),IF($AP$21="INVERT",S74,"")))</f>
        <v/>
      </c>
      <c r="AA74" s="75" t="str">
        <f t="shared" si="4"/>
        <v/>
      </c>
      <c r="AB74" s="75"/>
      <c r="AC74" s="35"/>
      <c r="AD74" s="35"/>
      <c r="AE74" s="35"/>
      <c r="AF74" s="35"/>
      <c r="AG74" s="35"/>
      <c r="AH74" s="35"/>
      <c r="AI74" s="35"/>
      <c r="AJ74" s="35"/>
      <c r="AK74" s="35"/>
      <c r="AL74" s="35"/>
      <c r="AM74" s="35"/>
    </row>
    <row r="75" spans="1:39" x14ac:dyDescent="0.2">
      <c r="A75" s="32">
        <f t="shared" si="1"/>
        <v>75</v>
      </c>
      <c r="C75" s="36">
        <f>IF(OR(C74&lt;30,C74=""),"",'Metric Calcs'!C71)</f>
        <v>609.59999999999991</v>
      </c>
      <c r="D75" s="80">
        <f>IF(C75=0,"",'Metric Calcs'!D71)</f>
        <v>0.11036108112699988</v>
      </c>
      <c r="E75" s="80">
        <f>IF(OR(E73=1,E73=""),"",IF('Metric Data'!$B$2,'Metric Calcs'!E71,'Metric Calcs'!F71))</f>
        <v>2.7789317853603321E-2</v>
      </c>
      <c r="F75" s="30">
        <f>IF(OR(F73=1,F73=""),"",IF('Metric Data'!$B$2,'Metric Calcs'!F71,'Metric Calcs'!H71))</f>
        <v>11.036108112699988</v>
      </c>
      <c r="G75" s="30">
        <f>IF(OR(G73=1,G73=""),"",IF('Metric Data'!$B$2,'Metric Calcs'!G71,'Metric Calcs'!K71))</f>
        <v>0.27789317853603324</v>
      </c>
      <c r="H75" s="30">
        <f>IF(OR(H73=1,H73=""),"",IF('Metric Data'!$B$2,'Metric Calcs'!H71,'Metric Calcs'!N71))</f>
        <v>1.4687994835055911</v>
      </c>
      <c r="I75" s="30">
        <f>IF(OR(I73=1,I73=""),"",IF('Metric Data'!$B$2,'Metric Calcs'!K71,'Metric Calcs'!W71))</f>
        <v>12.782800774741613</v>
      </c>
      <c r="J75" s="30">
        <f>IF('Metric Data'!$B$2,'Metric Calcs'!N71,"")</f>
        <v>249.6368391555996</v>
      </c>
      <c r="K75" s="30">
        <f>IF('Metric Data'!$B$2,'Metric Calcs'!W71,"")</f>
        <v>100.6096</v>
      </c>
      <c r="L75" s="37">
        <f>IF('Metric Data'!$B$2,J75,H75)</f>
        <v>249.6368391555996</v>
      </c>
      <c r="M75" s="112">
        <f>IF('Metric Data'!$B$2,K75,I75)</f>
        <v>100.6096</v>
      </c>
      <c r="O75" s="32">
        <f t="shared" si="2"/>
        <v>100.6096</v>
      </c>
      <c r="Q75" s="112">
        <f t="shared" si="5"/>
        <v>0.60959999999999703</v>
      </c>
      <c r="R75" s="32">
        <f t="shared" si="6"/>
        <v>0.60959999999999703</v>
      </c>
      <c r="S75" s="32">
        <f t="shared" si="7"/>
        <v>503.25987302122934</v>
      </c>
      <c r="U75" s="32">
        <f t="shared" si="3"/>
        <v>1</v>
      </c>
      <c r="X75" s="30" t="str" cm="1">
        <f t="array" ref="X75">IF($AP$21="INVERT",R75,IF(X74&gt;=$S$12,"",IF(R74="","",INDEX($R$18:$R$227,$U$17-ROWS($R$18:$R74)))))</f>
        <v/>
      </c>
      <c r="Y75" s="30" t="str">
        <f t="shared" si="8"/>
        <v/>
      </c>
      <c r="Z75" s="30" t="str">
        <f>IF(Z74="","",IF($AP$21="TYP",IF(S74="","",INDEX($S$18:$S$227,$U$17-ROWS($S$18:$S74))),IF($AP$21="INVERT",S75,"")))</f>
        <v/>
      </c>
      <c r="AA75" s="75" t="str">
        <f t="shared" si="4"/>
        <v/>
      </c>
      <c r="AB75" s="75"/>
      <c r="AC75" s="35"/>
      <c r="AD75" s="35"/>
      <c r="AE75" s="35"/>
      <c r="AF75" s="35"/>
      <c r="AG75" s="35"/>
      <c r="AH75" s="35"/>
      <c r="AI75" s="35"/>
      <c r="AJ75" s="35"/>
      <c r="AK75" s="35"/>
      <c r="AL75" s="35"/>
      <c r="AM75" s="35"/>
    </row>
    <row r="76" spans="1:39" x14ac:dyDescent="0.2">
      <c r="A76" s="32">
        <f t="shared" si="1"/>
        <v>76</v>
      </c>
      <c r="C76" s="36">
        <f>IF(OR(C75&lt;30,C75=""),"",'Metric Calcs'!C72)</f>
        <v>584.19999999999993</v>
      </c>
      <c r="D76" s="80">
        <f>IF(C76=0,"",'Metric Calcs'!D72)</f>
        <v>0.11109868611071794</v>
      </c>
      <c r="E76" s="80">
        <f>IF(OR(E74=1,E74=""),"",IF('Metric Data'!$B$2,'Metric Calcs'!E72,'Metric Calcs'!F72))</f>
        <v>2.749946453348432E-2</v>
      </c>
      <c r="F76" s="30">
        <f>IF(OR(F74=1,F74=""),"",IF('Metric Data'!$B$2,'Metric Calcs'!F72,'Metric Calcs'!H72))</f>
        <v>11.109868611071793</v>
      </c>
      <c r="G76" s="30">
        <f>IF(OR(G74=1,G74=""),"",IF('Metric Data'!$B$2,'Metric Calcs'!G72,'Metric Calcs'!K72))</f>
        <v>0.27499464533484319</v>
      </c>
      <c r="H76" s="30">
        <f>IF(OR(H74=1,H74=""),"",IF('Metric Data'!$B$2,'Metric Calcs'!H72,'Metric Calcs'!N72))</f>
        <v>1.4404546974373453</v>
      </c>
      <c r="I76" s="30">
        <f>IF(OR(I74=1,I74=""),"",IF('Metric Data'!$B$2,'Metric Calcs'!K72,'Metric Calcs'!W72))</f>
        <v>12.825317953843982</v>
      </c>
      <c r="J76" s="30">
        <f>IF('Metric Data'!$B$2,'Metric Calcs'!N72,"")</f>
        <v>236.85403838085799</v>
      </c>
      <c r="K76" s="30">
        <f>IF('Metric Data'!$B$2,'Metric Calcs'!W72,"")</f>
        <v>100.5842</v>
      </c>
      <c r="L76" s="37">
        <f>IF('Metric Data'!$B$2,J76,H76)</f>
        <v>236.85403838085799</v>
      </c>
      <c r="M76" s="112">
        <f>IF('Metric Data'!$B$2,K76,I76)</f>
        <v>100.5842</v>
      </c>
      <c r="O76" s="32">
        <f t="shared" si="2"/>
        <v>100.5842</v>
      </c>
      <c r="Q76" s="112">
        <f t="shared" si="5"/>
        <v>0.58419999999999705</v>
      </c>
      <c r="R76" s="32">
        <f t="shared" si="6"/>
        <v>0.58419999999999705</v>
      </c>
      <c r="S76" s="32">
        <f t="shared" si="7"/>
        <v>504.9337777105809</v>
      </c>
      <c r="U76" s="32">
        <f t="shared" si="3"/>
        <v>1</v>
      </c>
      <c r="X76" s="30" t="str" cm="1">
        <f t="array" ref="X76">IF($AP$21="INVERT",R76,IF(X75&gt;=$S$12,"",IF(R75="","",INDEX($R$18:$R$227,$U$17-ROWS($R$18:$R75)))))</f>
        <v/>
      </c>
      <c r="Y76" s="30" t="str">
        <f t="shared" si="8"/>
        <v/>
      </c>
      <c r="Z76" s="30" t="str">
        <f>IF(Z75="","",IF($AP$21="TYP",IF(S75="","",INDEX($S$18:$S$227,$U$17-ROWS($S$18:$S75))),IF($AP$21="INVERT",S76,"")))</f>
        <v/>
      </c>
      <c r="AA76" s="75" t="str">
        <f t="shared" si="4"/>
        <v/>
      </c>
      <c r="AB76" s="75"/>
      <c r="AC76" s="35"/>
      <c r="AD76" s="35"/>
      <c r="AE76" s="35"/>
      <c r="AF76" s="35"/>
      <c r="AG76" s="35"/>
      <c r="AH76" s="35"/>
      <c r="AI76" s="35"/>
      <c r="AJ76" s="35"/>
      <c r="AK76" s="35"/>
      <c r="AL76" s="35"/>
      <c r="AM76" s="35"/>
    </row>
    <row r="77" spans="1:39" x14ac:dyDescent="0.2">
      <c r="A77" s="32">
        <f t="shared" si="1"/>
        <v>77</v>
      </c>
      <c r="C77" s="36">
        <f>IF(OR(C76&lt;30,C76=""),"",'Metric Calcs'!C73)</f>
        <v>558.79999999999995</v>
      </c>
      <c r="D77" s="80">
        <f>IF(C77=0,"",'Metric Calcs'!D73)</f>
        <v>0.11180166359903726</v>
      </c>
      <c r="E77" s="80">
        <f>IF(OR(E75=1,E75=""),"",IF('Metric Data'!$B$2,'Metric Calcs'!E73,'Metric Calcs'!F73))</f>
        <v>2.8408496389636172E-2</v>
      </c>
      <c r="F77" s="30">
        <f>IF(OR(F75=1,F75=""),"",IF('Metric Data'!$B$2,'Metric Calcs'!F73,'Metric Calcs'!H73))</f>
        <v>11.180166359903726</v>
      </c>
      <c r="G77" s="30">
        <f>IF(OR(G75=1,G75=""),"",IF('Metric Data'!$B$2,'Metric Calcs'!G73,'Metric Calcs'!K73))</f>
        <v>0.28408496389636173</v>
      </c>
      <c r="H77" s="30">
        <f>IF(OR(H75=1,H75=""),"",IF('Metric Data'!$B$2,'Metric Calcs'!H73,'Metric Calcs'!N73))</f>
        <v>1.4086994704799645</v>
      </c>
      <c r="I77" s="30">
        <f>IF(OR(I75=1,I75=""),"",IF('Metric Data'!$B$2,'Metric Calcs'!K73,'Metric Calcs'!W73))</f>
        <v>12.872950794280053</v>
      </c>
      <c r="J77" s="30">
        <f>IF('Metric Data'!$B$2,'Metric Calcs'!N73,"")</f>
        <v>224.02872042701401</v>
      </c>
      <c r="K77" s="30">
        <f>IF('Metric Data'!$B$2,'Metric Calcs'!W73,"")</f>
        <v>100.55880000000001</v>
      </c>
      <c r="L77" s="37">
        <f>IF('Metric Data'!$B$2,J77,H77)</f>
        <v>224.02872042701401</v>
      </c>
      <c r="M77" s="112">
        <f>IF('Metric Data'!$B$2,K77,I77)</f>
        <v>100.55880000000001</v>
      </c>
      <c r="O77" s="32">
        <f t="shared" si="2"/>
        <v>100.55880000000001</v>
      </c>
      <c r="Q77" s="112">
        <f t="shared" si="5"/>
        <v>0.55879999999999708</v>
      </c>
      <c r="R77" s="32">
        <f t="shared" si="6"/>
        <v>0.55879999999999708</v>
      </c>
      <c r="S77" s="32">
        <f t="shared" si="7"/>
        <v>506.80908638888383</v>
      </c>
      <c r="U77" s="32">
        <f t="shared" si="3"/>
        <v>1</v>
      </c>
      <c r="X77" s="30" t="str" cm="1">
        <f t="array" ref="X77">IF($AP$21="INVERT",R77,IF(X76&gt;=$S$12,"",IF(R76="","",INDEX($R$18:$R$227,$U$17-ROWS($R$18:$R76)))))</f>
        <v/>
      </c>
      <c r="Y77" s="30" t="str">
        <f t="shared" si="8"/>
        <v/>
      </c>
      <c r="Z77" s="30" t="str">
        <f>IF(Z76="","",IF($AP$21="TYP",IF(S76="","",INDEX($S$18:$S$227,$U$17-ROWS($S$18:$S76))),IF($AP$21="INVERT",S77,"")))</f>
        <v/>
      </c>
      <c r="AA77" s="75" t="str">
        <f t="shared" si="4"/>
        <v/>
      </c>
      <c r="AB77" s="75"/>
      <c r="AC77" s="35"/>
      <c r="AD77" s="35"/>
      <c r="AE77" s="35"/>
      <c r="AF77" s="35"/>
      <c r="AG77" s="35"/>
      <c r="AH77" s="35"/>
      <c r="AI77" s="35"/>
      <c r="AJ77" s="35"/>
      <c r="AK77" s="35"/>
      <c r="AL77" s="35"/>
      <c r="AM77" s="35"/>
    </row>
    <row r="78" spans="1:39" x14ac:dyDescent="0.2">
      <c r="A78" s="32">
        <f t="shared" si="1"/>
        <v>78</v>
      </c>
      <c r="C78" s="36">
        <f>IF(OR(C77&lt;30,C77=""),"",'Metric Calcs'!C74)</f>
        <v>533.4</v>
      </c>
      <c r="D78" s="80">
        <f>IF(C78=0,"",'Metric Calcs'!D74)</f>
        <v>0.11247198046156016</v>
      </c>
      <c r="E78" s="80">
        <f>IF(OR(E76=1,E76=""),"",IF('Metric Data'!$B$2,'Metric Calcs'!E74,'Metric Calcs'!F74))</f>
        <v>2.8631585162112387E-2</v>
      </c>
      <c r="F78" s="30">
        <f>IF(OR(F76=1,F76=""),"",IF('Metric Data'!$B$2,'Metric Calcs'!F74,'Metric Calcs'!H74))</f>
        <v>11.247198046156017</v>
      </c>
      <c r="G78" s="30">
        <f>IF(OR(G76=1,G76=""),"",IF('Metric Data'!$B$2,'Metric Calcs'!G74,'Metric Calcs'!K74))</f>
        <v>0.28631585162112388</v>
      </c>
      <c r="H78" s="30">
        <f>IF(OR(H76=1,H76=""),"",IF('Metric Data'!$B$2,'Metric Calcs'!H74,'Metric Calcs'!N74))</f>
        <v>1.3809944408891432</v>
      </c>
      <c r="I78" s="30">
        <f>IF(OR(I76=1,I76=""),"",IF('Metric Data'!$B$2,'Metric Calcs'!K74,'Metric Calcs'!W74))</f>
        <v>12.914508338666284</v>
      </c>
      <c r="J78" s="30">
        <f>IF('Metric Data'!$B$2,'Metric Calcs'!N74,"")</f>
        <v>211.15576963273395</v>
      </c>
      <c r="K78" s="30">
        <f>IF('Metric Data'!$B$2,'Metric Calcs'!W74,"")</f>
        <v>100.5334</v>
      </c>
      <c r="L78" s="37">
        <f>IF('Metric Data'!$B$2,J78,H78)</f>
        <v>211.15576963273395</v>
      </c>
      <c r="M78" s="112">
        <f>IF('Metric Data'!$B$2,K78,I78)</f>
        <v>100.5334</v>
      </c>
      <c r="O78" s="32">
        <f t="shared" si="2"/>
        <v>100.5334</v>
      </c>
      <c r="Q78" s="112">
        <f t="shared" si="5"/>
        <v>0.5333999999999971</v>
      </c>
      <c r="R78" s="32">
        <f t="shared" si="6"/>
        <v>0.5333999999999971</v>
      </c>
      <c r="S78" s="32">
        <f t="shared" si="7"/>
        <v>508.44521018361672</v>
      </c>
      <c r="U78" s="32">
        <f t="shared" si="3"/>
        <v>1</v>
      </c>
      <c r="X78" s="30" t="str" cm="1">
        <f t="array" ref="X78">IF($AP$21="INVERT",R78,IF(X77&gt;=$S$12,"",IF(R77="","",INDEX($R$18:$R$227,$U$17-ROWS($R$18:$R77)))))</f>
        <v/>
      </c>
      <c r="Y78" s="30" t="str">
        <f t="shared" si="8"/>
        <v/>
      </c>
      <c r="Z78" s="30" t="str">
        <f>IF(Z77="","",IF($AP$21="TYP",IF(S77="","",INDEX($S$18:$S$227,$U$17-ROWS($S$18:$S77))),IF($AP$21="INVERT",S78,"")))</f>
        <v/>
      </c>
      <c r="AA78" s="75" t="str">
        <f t="shared" si="4"/>
        <v/>
      </c>
      <c r="AB78" s="75"/>
      <c r="AC78" s="35"/>
      <c r="AD78" s="35"/>
      <c r="AE78" s="35"/>
      <c r="AF78" s="35"/>
      <c r="AG78" s="35"/>
      <c r="AH78" s="35"/>
      <c r="AI78" s="35"/>
      <c r="AJ78" s="35"/>
      <c r="AK78" s="35"/>
      <c r="AL78" s="35"/>
      <c r="AM78" s="35"/>
    </row>
    <row r="79" spans="1:39" x14ac:dyDescent="0.2">
      <c r="A79" s="32">
        <f t="shared" si="1"/>
        <v>79</v>
      </c>
      <c r="C79" s="36">
        <f>IF(OR(C78&lt;30,C78=""),"",'Metric Calcs'!C75)</f>
        <v>508</v>
      </c>
      <c r="D79" s="80">
        <f>IF(C79=0,"",'Metric Calcs'!D75)</f>
        <v>0.11311129123601876</v>
      </c>
      <c r="E79" s="80">
        <f>IF(OR(E77=1,E77=""),"",IF('Metric Data'!$B$2,'Metric Calcs'!E75,'Metric Calcs'!F75))</f>
        <v>2.889305847373641E-2</v>
      </c>
      <c r="F79" s="30">
        <f>IF(OR(F77=1,F77=""),"",IF('Metric Data'!$B$2,'Metric Calcs'!F75,'Metric Calcs'!H75))</f>
        <v>11.311129123601877</v>
      </c>
      <c r="G79" s="30">
        <f>IF(OR(G77=1,G77=""),"",IF('Metric Data'!$B$2,'Metric Calcs'!G75,'Metric Calcs'!K75))</f>
        <v>0.2889305847373641</v>
      </c>
      <c r="H79" s="30">
        <f>IF(OR(H77=1,H77=""),"",IF('Metric Data'!$B$2,'Metric Calcs'!H75,'Metric Calcs'!N75))</f>
        <v>1.3543761166643031</v>
      </c>
      <c r="I79" s="30">
        <f>IF(OR(I77=1,I77=""),"",IF('Metric Data'!$B$2,'Metric Calcs'!K75,'Metric Calcs'!W75))</f>
        <v>12.954435825003545</v>
      </c>
      <c r="J79" s="30">
        <f>IF('Metric Data'!$B$2,'Metric Calcs'!N75,"")</f>
        <v>198.24126129406767</v>
      </c>
      <c r="K79" s="30">
        <f>IF('Metric Data'!$B$2,'Metric Calcs'!W75,"")</f>
        <v>100.508</v>
      </c>
      <c r="L79" s="37">
        <f>IF('Metric Data'!$B$2,J79,H79)</f>
        <v>198.24126129406767</v>
      </c>
      <c r="M79" s="112">
        <f>IF('Metric Data'!$B$2,K79,I79)</f>
        <v>100.508</v>
      </c>
      <c r="O79" s="32">
        <f t="shared" si="2"/>
        <v>100.508</v>
      </c>
      <c r="Q79" s="112">
        <f t="shared" si="5"/>
        <v>0.50799999999999712</v>
      </c>
      <c r="R79" s="32">
        <f t="shared" si="6"/>
        <v>0.50799999999999712</v>
      </c>
      <c r="S79" s="32">
        <f t="shared" si="7"/>
        <v>510.01715846489634</v>
      </c>
      <c r="U79" s="32">
        <f t="shared" si="3"/>
        <v>1</v>
      </c>
      <c r="X79" s="30" t="str" cm="1">
        <f t="array" ref="X79">IF($AP$21="INVERT",R79,IF(X78&gt;=$S$12,"",IF(R78="","",INDEX($R$18:$R$227,$U$17-ROWS($R$18:$R78)))))</f>
        <v/>
      </c>
      <c r="Y79" s="30" t="str">
        <f t="shared" si="8"/>
        <v/>
      </c>
      <c r="Z79" s="30" t="str">
        <f>IF(Z78="","",IF($AP$21="TYP",IF(S78="","",INDEX($S$18:$S$227,$U$17-ROWS($S$18:$S78))),IF($AP$21="INVERT",S79,"")))</f>
        <v/>
      </c>
      <c r="AA79" s="75" t="str">
        <f t="shared" si="4"/>
        <v/>
      </c>
      <c r="AB79" s="75"/>
      <c r="AC79" s="35"/>
      <c r="AD79" s="35"/>
      <c r="AE79" s="35"/>
      <c r="AF79" s="35"/>
      <c r="AG79" s="35"/>
      <c r="AH79" s="35"/>
      <c r="AI79" s="35"/>
      <c r="AJ79" s="35"/>
      <c r="AK79" s="35"/>
      <c r="AL79" s="35"/>
      <c r="AM79" s="35"/>
    </row>
    <row r="80" spans="1:39" x14ac:dyDescent="0.2">
      <c r="A80" s="32">
        <f t="shared" si="1"/>
        <v>80</v>
      </c>
      <c r="C80" s="36">
        <f>IF(OR(C79&lt;30,C79=""),"",'Metric Calcs'!C76)</f>
        <v>482.59999999999997</v>
      </c>
      <c r="D80" s="80">
        <f>IF(C80=0,"",'Metric Calcs'!D76)</f>
        <v>0.11371738807871999</v>
      </c>
      <c r="E80" s="80">
        <f>IF(OR(E78=1,E78=""),"",IF('Metric Data'!$B$2,'Metric Calcs'!E76,'Metric Calcs'!F76))</f>
        <v>2.9175378451083075E-2</v>
      </c>
      <c r="F80" s="30">
        <f>IF(OR(F78=1,F78=""),"",IF('Metric Data'!$B$2,'Metric Calcs'!F76,'Metric Calcs'!H76))</f>
        <v>11.371738807871999</v>
      </c>
      <c r="G80" s="30">
        <f>IF(OR(G78=1,G78=""),"",IF('Metric Data'!$B$2,'Metric Calcs'!G76,'Metric Calcs'!K76))</f>
        <v>0.29175378451083078</v>
      </c>
      <c r="H80" s="30">
        <f>IF(OR(H78=1,H78=""),"",IF('Metric Data'!$B$2,'Metric Calcs'!H76,'Metric Calcs'!N76))</f>
        <v>1.3290029630468674</v>
      </c>
      <c r="I80" s="30">
        <f>IF(OR(I78=1,I78=""),"",IF('Metric Data'!$B$2,'Metric Calcs'!K76,'Metric Calcs'!W76))</f>
        <v>12.992495555429699</v>
      </c>
      <c r="J80" s="30">
        <f>IF('Metric Data'!$B$2,'Metric Calcs'!N76,"")</f>
        <v>185.28682546906413</v>
      </c>
      <c r="K80" s="30">
        <f>IF('Metric Data'!$B$2,'Metric Calcs'!W76,"")</f>
        <v>100.48260000000001</v>
      </c>
      <c r="L80" s="37">
        <f>IF('Metric Data'!$B$2,J80,H80)</f>
        <v>185.28682546906413</v>
      </c>
      <c r="M80" s="112">
        <f>IF('Metric Data'!$B$2,K80,I80)</f>
        <v>100.48260000000001</v>
      </c>
      <c r="O80" s="32">
        <f t="shared" si="2"/>
        <v>100.48260000000001</v>
      </c>
      <c r="Q80" s="112">
        <f t="shared" si="5"/>
        <v>0.48259999999999714</v>
      </c>
      <c r="R80" s="32">
        <f t="shared" si="6"/>
        <v>0.48259999999999714</v>
      </c>
      <c r="S80" s="32">
        <f t="shared" si="7"/>
        <v>511.51557304831817</v>
      </c>
      <c r="U80" s="32">
        <f t="shared" si="3"/>
        <v>1</v>
      </c>
      <c r="X80" s="30" t="str" cm="1">
        <f t="array" ref="X80">IF($AP$21="INVERT",R80,IF(X79&gt;=$S$12,"",IF(R79="","",INDEX($R$18:$R$227,$U$17-ROWS($R$18:$R79)))))</f>
        <v/>
      </c>
      <c r="Y80" s="30" t="str">
        <f t="shared" si="8"/>
        <v/>
      </c>
      <c r="Z80" s="30" t="str">
        <f>IF(Z79="","",IF($AP$21="TYP",IF(S79="","",INDEX($S$18:$S$227,$U$17-ROWS($S$18:$S79))),IF($AP$21="INVERT",S80,"")))</f>
        <v/>
      </c>
      <c r="AA80" s="75" t="str">
        <f t="shared" si="4"/>
        <v/>
      </c>
      <c r="AB80" s="75"/>
      <c r="AC80" s="35"/>
      <c r="AD80" s="35"/>
      <c r="AE80" s="35"/>
      <c r="AF80" s="35"/>
      <c r="AG80" s="35"/>
      <c r="AH80" s="35"/>
      <c r="AI80" s="35"/>
      <c r="AJ80" s="35"/>
      <c r="AK80" s="35"/>
      <c r="AL80" s="35"/>
      <c r="AM80" s="35"/>
    </row>
    <row r="81" spans="1:39" x14ac:dyDescent="0.2">
      <c r="A81" s="32">
        <f t="shared" si="1"/>
        <v>81</v>
      </c>
      <c r="C81" s="36">
        <f>IF(OR(C80&lt;30,C80=""),"",'Metric Calcs'!C77)</f>
        <v>457.2</v>
      </c>
      <c r="D81" s="80">
        <f>IF(C81=0,"",'Metric Calcs'!D77)</f>
        <v>0.11429154806739351</v>
      </c>
      <c r="E81" s="80">
        <f>IF(OR(E79=1,E79=""),"",IF('Metric Data'!$B$2,'Metric Calcs'!E77,'Metric Calcs'!F77))</f>
        <v>2.9412688659209974E-2</v>
      </c>
      <c r="F81" s="30">
        <f>IF(OR(F79=1,F79=""),"",IF('Metric Data'!$B$2,'Metric Calcs'!F77,'Metric Calcs'!H77))</f>
        <v>11.429154806739351</v>
      </c>
      <c r="G81" s="30">
        <f>IF(OR(G79=1,G79=""),"",IF('Metric Data'!$B$2,'Metric Calcs'!G77,'Metric Calcs'!K77))</f>
        <v>0.29412688659209973</v>
      </c>
      <c r="H81" s="30">
        <f>IF(OR(H79=1,H79=""),"",IF('Metric Data'!$B$2,'Metric Calcs'!H77,'Metric Calcs'!N77))</f>
        <v>1.3050873226674193</v>
      </c>
      <c r="I81" s="30">
        <f>IF(OR(I79=1,I79=""),"",IF('Metric Data'!$B$2,'Metric Calcs'!K77,'Metric Calcs'!W77))</f>
        <v>13.028369015998869</v>
      </c>
      <c r="J81" s="30">
        <f>IF('Metric Data'!$B$2,'Metric Calcs'!N77,"")</f>
        <v>172.29432991363441</v>
      </c>
      <c r="K81" s="30">
        <f>IF('Metric Data'!$B$2,'Metric Calcs'!W77,"")</f>
        <v>100.4572</v>
      </c>
      <c r="L81" s="37">
        <f>IF('Metric Data'!$B$2,J81,H81)</f>
        <v>172.29432991363441</v>
      </c>
      <c r="M81" s="112">
        <f>IF('Metric Data'!$B$2,K81,I81)</f>
        <v>100.4572</v>
      </c>
      <c r="O81" s="32">
        <f t="shared" si="2"/>
        <v>100.4572</v>
      </c>
      <c r="Q81" s="112">
        <f t="shared" si="5"/>
        <v>0.45719999999999716</v>
      </c>
      <c r="R81" s="32">
        <f t="shared" si="6"/>
        <v>0.45719999999999716</v>
      </c>
      <c r="S81" s="32">
        <f t="shared" si="7"/>
        <v>512.92791401560726</v>
      </c>
      <c r="U81" s="32">
        <f t="shared" si="3"/>
        <v>1</v>
      </c>
      <c r="X81" s="30" t="str" cm="1">
        <f t="array" ref="X81">IF($AP$21="INVERT",R81,IF(X80&gt;=$S$12,"",IF(R80="","",INDEX($R$18:$R$227,$U$17-ROWS($R$18:$R80)))))</f>
        <v/>
      </c>
      <c r="Y81" s="30" t="str">
        <f t="shared" si="8"/>
        <v/>
      </c>
      <c r="Z81" s="30" t="str">
        <f>IF(Z80="","",IF($AP$21="TYP",IF(S80="","",INDEX($S$18:$S$227,$U$17-ROWS($S$18:$S80))),IF($AP$21="INVERT",S81,"")))</f>
        <v/>
      </c>
      <c r="AA81" s="75" t="str">
        <f t="shared" si="4"/>
        <v/>
      </c>
      <c r="AB81" s="75"/>
      <c r="AC81" s="35"/>
      <c r="AD81" s="35"/>
      <c r="AE81" s="35"/>
      <c r="AF81" s="35"/>
      <c r="AG81" s="35"/>
      <c r="AH81" s="35"/>
      <c r="AI81" s="35"/>
      <c r="AJ81" s="35"/>
      <c r="AK81" s="35"/>
      <c r="AL81" s="35"/>
      <c r="AM81" s="35"/>
    </row>
    <row r="82" spans="1:39" x14ac:dyDescent="0.2">
      <c r="A82" s="32">
        <f t="shared" ref="A82:A145" si="9">IF(C82&lt;&gt;"",A81+1,"")</f>
        <v>82</v>
      </c>
      <c r="C82" s="36">
        <f>IF(OR(C81&lt;30,C81=""),"",'Metric Calcs'!C78)</f>
        <v>431.79999999999995</v>
      </c>
      <c r="D82" s="80">
        <f>IF(C82=0,"",'Metric Calcs'!D78)</f>
        <v>0.11483580857992352</v>
      </c>
      <c r="E82" s="80">
        <f>IF(OR(E80=1,E80=""),"",IF('Metric Data'!$B$2,'Metric Calcs'!E78,'Metric Calcs'!F78))</f>
        <v>2.962952569729577E-2</v>
      </c>
      <c r="F82" s="30">
        <f>IF(OR(F80=1,F80=""),"",IF('Metric Data'!$B$2,'Metric Calcs'!F78,'Metric Calcs'!H78))</f>
        <v>11.483580857992353</v>
      </c>
      <c r="G82" s="30">
        <f>IF(OR(G80=1,G80=""),"",IF('Metric Data'!$B$2,'Metric Calcs'!G78,'Metric Calcs'!K78))</f>
        <v>0.29629525697295772</v>
      </c>
      <c r="H82" s="30">
        <f>IF(OR(H80=1,H80=""),"",IF('Metric Data'!$B$2,'Metric Calcs'!H78,'Metric Calcs'!N78))</f>
        <v>1.2824495540138756</v>
      </c>
      <c r="I82" s="30">
        <f>IF(OR(I80=1,I80=""),"",IF('Metric Data'!$B$2,'Metric Calcs'!K78,'Metric Calcs'!W78))</f>
        <v>13.062325668979186</v>
      </c>
      <c r="J82" s="30">
        <f>IF('Metric Data'!$B$2,'Metric Calcs'!N78,"")</f>
        <v>159.26596089763555</v>
      </c>
      <c r="K82" s="30">
        <f>IF('Metric Data'!$B$2,'Metric Calcs'!W78,"")</f>
        <v>100.4318</v>
      </c>
      <c r="L82" s="37">
        <f>IF('Metric Data'!$B$2,J82,H82)</f>
        <v>159.26596089763555</v>
      </c>
      <c r="M82" s="112">
        <f>IF('Metric Data'!$B$2,K82,I82)</f>
        <v>100.4318</v>
      </c>
      <c r="O82" s="32">
        <f t="shared" si="2"/>
        <v>100.4318</v>
      </c>
      <c r="Q82" s="112">
        <f t="shared" si="5"/>
        <v>0.43179999999999719</v>
      </c>
      <c r="R82" s="32">
        <f t="shared" si="6"/>
        <v>0.43179999999999719</v>
      </c>
      <c r="S82" s="32">
        <f>IF(R82="","",IF(R82=0,L81/$U$11,IF(ISNUMBER(O83),(L82-L83)/(M82-M83),S81)))</f>
        <v>514.26479011748222</v>
      </c>
      <c r="U82" s="32">
        <f t="shared" si="3"/>
        <v>1</v>
      </c>
      <c r="X82" s="30" t="str" cm="1">
        <f t="array" ref="X82">IF($AP$21="INVERT",R82,IF(X81&gt;=$S$12,"",IF(R81="","",INDEX($R$18:$R$227,$U$17-ROWS($R$18:$R81)))))</f>
        <v/>
      </c>
      <c r="Y82" s="30" t="str">
        <f t="shared" si="8"/>
        <v/>
      </c>
      <c r="Z82" s="30" t="str">
        <f>IF(Z81="","",IF($AP$21="TYP",IF(S81="","",INDEX($S$18:$S$227,$U$17-ROWS($S$18:$S81))),IF($AP$21="INVERT",S82,"")))</f>
        <v/>
      </c>
      <c r="AA82" s="75" t="str">
        <f t="shared" si="4"/>
        <v/>
      </c>
      <c r="AB82" s="75"/>
      <c r="AC82" s="35"/>
      <c r="AD82" s="35"/>
      <c r="AE82" s="35"/>
      <c r="AF82" s="35"/>
      <c r="AG82" s="35"/>
      <c r="AH82" s="35"/>
      <c r="AI82" s="35"/>
      <c r="AJ82" s="35"/>
      <c r="AK82" s="35"/>
      <c r="AL82" s="35"/>
      <c r="AM82" s="35"/>
    </row>
    <row r="83" spans="1:39" x14ac:dyDescent="0.2">
      <c r="A83" s="32">
        <f t="shared" si="9"/>
        <v>83</v>
      </c>
      <c r="C83" s="36">
        <f>IF(OR(C82&lt;30,C82=""),"",'Metric Calcs'!C79)</f>
        <v>406.4</v>
      </c>
      <c r="D83" s="80">
        <f>IF(C83=0,"",'Metric Calcs'!D79)</f>
        <v>0.11534905054509419</v>
      </c>
      <c r="E83" s="80">
        <f>IF(OR(E81=1,E81=""),"",IF('Metric Data'!$B$2,'Metric Calcs'!E79,'Metric Calcs'!F79))</f>
        <v>2.9846367266034263E-2</v>
      </c>
      <c r="F83" s="30">
        <f>IF(OR(F81=1,F81=""),"",IF('Metric Data'!$B$2,'Metric Calcs'!F79,'Metric Calcs'!H79))</f>
        <v>11.534905054509419</v>
      </c>
      <c r="G83" s="30">
        <f>IF(OR(G81=1,G81=""),"",IF('Metric Data'!$B$2,'Metric Calcs'!G79,'Metric Calcs'!K79))</f>
        <v>0.29846367266034263</v>
      </c>
      <c r="H83" s="30">
        <f>IF(OR(H81=1,H81=""),"",IF('Metric Data'!$B$2,'Metric Calcs'!H79,'Metric Calcs'!N79))</f>
        <v>1.2610525091320945</v>
      </c>
      <c r="I83" s="30">
        <f>IF(OR(I81=1,I81=""),"",IF('Metric Data'!$B$2,'Metric Calcs'!K79,'Metric Calcs'!W79))</f>
        <v>13.094421236301857</v>
      </c>
      <c r="J83" s="30">
        <f>IF('Metric Data'!$B$2,'Metric Calcs'!N79,"")</f>
        <v>146.20363522865637</v>
      </c>
      <c r="K83" s="30">
        <f>IF('Metric Data'!$B$2,'Metric Calcs'!W79,"")</f>
        <v>100.4064</v>
      </c>
      <c r="L83" s="37">
        <f>IF('Metric Data'!$B$2,J83,H83)</f>
        <v>146.20363522865637</v>
      </c>
      <c r="M83" s="112">
        <f>IF('Metric Data'!$B$2,K83,I83)</f>
        <v>100.4064</v>
      </c>
      <c r="O83" s="37">
        <f>IF(M84="",IF(M83="","",$F$9),M83)</f>
        <v>100.4064</v>
      </c>
      <c r="Q83" s="112">
        <f t="shared" si="5"/>
        <v>0.40639999999999721</v>
      </c>
      <c r="R83" s="32">
        <f>IF(AND(C83="",C82=1),0,IF(C83="","",IF(OR(Q83=0,Q83&gt;0),Q83,"")))</f>
        <v>0.40639999999999721</v>
      </c>
      <c r="S83" s="32">
        <f>IF(R83="","",IF(R83=0,L82/$U$11,IF(ISNUMBER(O84),(L83-L84)/(M83-M84),S82)))</f>
        <v>515.52839512989783</v>
      </c>
      <c r="U83" s="32">
        <f t="shared" ref="U83:U146" si="10">IF(R83="","",1)</f>
        <v>1</v>
      </c>
      <c r="X83" s="30" t="str" cm="1">
        <f t="array" ref="X83">IF($AP$21="INVERT",R83,IF(X82&gt;=$S$12,"",IF(R82="","",INDEX($R$18:$R$227,$U$17-ROWS($R$18:$R82)))))</f>
        <v/>
      </c>
      <c r="Y83" s="30" t="str">
        <f t="shared" ref="Y83:Y146" si="11">IF(X83="","",$F$9+X83)</f>
        <v/>
      </c>
      <c r="Z83" s="30" t="str">
        <f>IF(Z82="","",IF($AP$21="TYP",IF(S82="","",INDEX($S$18:$S$227,$U$17-ROWS($S$18:$S82))),IF($AP$21="INVERT",S83,"")))</f>
        <v/>
      </c>
      <c r="AA83" s="75" t="str">
        <f t="shared" ref="AA83:AA146" si="12">IF(Z83="","",Z83/10000)</f>
        <v/>
      </c>
      <c r="AB83" s="75"/>
      <c r="AC83" s="35"/>
      <c r="AD83" s="35"/>
      <c r="AE83" s="35"/>
      <c r="AF83" s="35"/>
      <c r="AG83" s="35"/>
      <c r="AH83" s="35"/>
      <c r="AI83" s="35"/>
      <c r="AJ83" s="35"/>
      <c r="AK83" s="35"/>
      <c r="AL83" s="35"/>
      <c r="AM83" s="35"/>
    </row>
    <row r="84" spans="1:39" x14ac:dyDescent="0.2">
      <c r="A84" s="32">
        <f t="shared" si="9"/>
        <v>84</v>
      </c>
      <c r="C84" s="36">
        <f>IF(OR(C83&lt;30,C83=""),"",'Metric Calcs'!C80)</f>
        <v>381</v>
      </c>
      <c r="D84" s="80">
        <f>IF(C84=0,"",'Metric Calcs'!D80)</f>
        <v>0.11582914625513242</v>
      </c>
      <c r="E84" s="80">
        <f>IF(OR(E82=1,E82=""),"",IF('Metric Data'!$B$2,'Metric Calcs'!E80,'Metric Calcs'!F80))</f>
        <v>2.9745055642078456E-2</v>
      </c>
      <c r="F84" s="30">
        <f>IF(OR(F82=1,F82=""),"",IF('Metric Data'!$B$2,'Metric Calcs'!F80,'Metric Calcs'!H80))</f>
        <v>11.582914625513242</v>
      </c>
      <c r="G84" s="30">
        <f>IF(OR(G82=1,G82=""),"",IF('Metric Data'!$B$2,'Metric Calcs'!G80,'Metric Calcs'!K80))</f>
        <v>0.29745055642078455</v>
      </c>
      <c r="H84" s="30">
        <f>IF(OR(H82=1,H82=""),"",IF('Metric Data'!$B$2,'Metric Calcs'!H80,'Metric Calcs'!N80))</f>
        <v>1.2422539272263891</v>
      </c>
      <c r="I84" s="30">
        <f>IF(OR(I82=1,I82=""),"",IF('Metric Data'!$B$2,'Metric Calcs'!K80,'Metric Calcs'!W80))</f>
        <v>13.122619109160416</v>
      </c>
      <c r="J84" s="30">
        <f>IF('Metric Data'!$B$2,'Metric Calcs'!N80,"")</f>
        <v>133.10921399235451</v>
      </c>
      <c r="K84" s="30">
        <f>IF('Metric Data'!$B$2,'Metric Calcs'!W80,"")</f>
        <v>100.381</v>
      </c>
      <c r="L84" s="37">
        <f>IF('Metric Data'!$B$2,J84,H84)</f>
        <v>133.10921399235451</v>
      </c>
      <c r="M84" s="112">
        <f>IF('Metric Data'!$B$2,K84,I84)</f>
        <v>100.381</v>
      </c>
      <c r="O84" s="32">
        <f t="shared" ref="O84:O98" si="13">IF(M85="",IF(M84="","",$F$9),M84)</f>
        <v>100.381</v>
      </c>
      <c r="Q84" s="112">
        <f t="shared" ref="Q84:Q147" si="14">Q83-($U$11)</f>
        <v>0.38099999999999723</v>
      </c>
      <c r="R84" s="32">
        <f>IF(AND(C84="",C83=1),0,IF(C84="","",IF(OR(Q84=0,Q84&gt;0),Q84,"")))</f>
        <v>0.38099999999999723</v>
      </c>
      <c r="S84" s="32">
        <f t="shared" ref="S84:S147" si="15">IF(R84="","",IF(R84=0,L83/$U$11,IF(ISNUMBER(O85),(L84-L85)/(M84-M85),S83)))</f>
        <v>516.63854760464392</v>
      </c>
      <c r="U84" s="32">
        <f t="shared" si="10"/>
        <v>1</v>
      </c>
      <c r="X84" s="30" t="str" cm="1">
        <f t="array" ref="X84">IF($AP$21="INVERT",R84,IF(X83&gt;=$S$12,"",IF(R83="","",INDEX($R$18:$R$227,$U$17-ROWS($R$18:$R83)))))</f>
        <v/>
      </c>
      <c r="Y84" s="30" t="str">
        <f t="shared" si="11"/>
        <v/>
      </c>
      <c r="Z84" s="30" t="str">
        <f>IF(Z83="","",IF($AP$21="TYP",IF(S83="","",INDEX($S$18:$S$227,$U$17-ROWS($S$18:$S83))),IF($AP$21="INVERT",S84,"")))</f>
        <v/>
      </c>
      <c r="AA84" s="75" t="str">
        <f t="shared" si="12"/>
        <v/>
      </c>
      <c r="AB84" s="75"/>
      <c r="AC84" s="35"/>
      <c r="AD84" s="35"/>
      <c r="AE84" s="35"/>
      <c r="AF84" s="35"/>
      <c r="AG84" s="35"/>
      <c r="AH84" s="35"/>
      <c r="AI84" s="35"/>
      <c r="AJ84" s="35"/>
      <c r="AK84" s="35"/>
      <c r="AL84" s="35"/>
      <c r="AM84" s="35"/>
    </row>
    <row r="85" spans="1:39" x14ac:dyDescent="0.2">
      <c r="A85" s="32">
        <f t="shared" si="9"/>
        <v>85</v>
      </c>
      <c r="C85" s="36">
        <f>IF(OR(C84&lt;30,C84=""),"",'Metric Calcs'!C81)</f>
        <v>355.59999999999997</v>
      </c>
      <c r="D85" s="80">
        <f>IF(C85=0,"",'Metric Calcs'!D81)</f>
        <v>0.11628752003397989</v>
      </c>
      <c r="E85" s="80">
        <f>IF(OR(E83=1,E83=""),"",IF('Metric Data'!$B$2,'Metric Calcs'!E81,'Metric Calcs'!F81))</f>
        <v>2.9920840436075315E-2</v>
      </c>
      <c r="F85" s="30">
        <f>IF(OR(F83=1,F83=""),"",IF('Metric Data'!$B$2,'Metric Calcs'!F81,'Metric Calcs'!H81))</f>
        <v>11.62875200339799</v>
      </c>
      <c r="G85" s="30">
        <f>IF(OR(G83=1,G83=""),"",IF('Metric Data'!$B$2,'Metric Calcs'!G81,'Metric Calcs'!K81))</f>
        <v>0.29920840436075313</v>
      </c>
      <c r="H85" s="30">
        <f>IF(OR(H83=1,H83=""),"",IF('Metric Data'!$B$2,'Metric Calcs'!H81,'Metric Calcs'!N81))</f>
        <v>1.2232158368965025</v>
      </c>
      <c r="I85" s="30">
        <f>IF(OR(I83=1,I83=""),"",IF('Metric Data'!$B$2,'Metric Calcs'!K81,'Metric Calcs'!W81))</f>
        <v>13.151176244655245</v>
      </c>
      <c r="J85" s="30">
        <f>IF('Metric Data'!$B$2,'Metric Calcs'!N81,"")</f>
        <v>119.9865948831941</v>
      </c>
      <c r="K85" s="30">
        <f>IF('Metric Data'!$B$2,'Metric Calcs'!W81,"")</f>
        <v>100.3556</v>
      </c>
      <c r="L85" s="37">
        <f>IF('Metric Data'!$B$2,J85,H85)</f>
        <v>119.9865948831941</v>
      </c>
      <c r="M85" s="112">
        <f>IF('Metric Data'!$B$2,K85,I85)</f>
        <v>100.3556</v>
      </c>
      <c r="O85" s="32">
        <f t="shared" si="13"/>
        <v>100.3556</v>
      </c>
      <c r="Q85" s="112">
        <f t="shared" si="14"/>
        <v>0.35559999999999725</v>
      </c>
      <c r="R85" s="32">
        <f t="shared" ref="R85:R148" si="16">IF(AND(C85="",C84=1),0,IF(C85="","",IF(OR(Q85=0,Q85&gt;0),Q85,"")))</f>
        <v>0.35559999999999725</v>
      </c>
      <c r="S85" s="32">
        <f t="shared" si="15"/>
        <v>517.76284427795838</v>
      </c>
      <c r="U85" s="32">
        <f t="shared" si="10"/>
        <v>1</v>
      </c>
      <c r="X85" s="30" t="str" cm="1">
        <f t="array" ref="X85">IF($AP$21="INVERT",R85,IF(X84&gt;=$S$12,"",IF(R84="","",INDEX($R$18:$R$227,$U$17-ROWS($R$18:$R84)))))</f>
        <v/>
      </c>
      <c r="Y85" s="30" t="str">
        <f t="shared" si="11"/>
        <v/>
      </c>
      <c r="Z85" s="30" t="str">
        <f>IF(Z84="","",IF($AP$21="TYP",IF(S84="","",INDEX($S$18:$S$227,$U$17-ROWS($S$18:$S84))),IF($AP$21="INVERT",S85,"")))</f>
        <v/>
      </c>
      <c r="AA85" s="75" t="str">
        <f t="shared" si="12"/>
        <v/>
      </c>
      <c r="AB85" s="75"/>
      <c r="AC85" s="35"/>
      <c r="AD85" s="35"/>
      <c r="AE85" s="35"/>
      <c r="AF85" s="35"/>
      <c r="AG85" s="35"/>
      <c r="AH85" s="35"/>
      <c r="AI85" s="35"/>
      <c r="AJ85" s="35"/>
      <c r="AK85" s="35"/>
      <c r="AL85" s="35"/>
      <c r="AM85" s="35"/>
    </row>
    <row r="86" spans="1:39" x14ac:dyDescent="0.2">
      <c r="A86" s="32">
        <f t="shared" si="9"/>
        <v>86</v>
      </c>
      <c r="C86" s="36">
        <f>IF(OR(C85&lt;30,C85=""),"",'Metric Calcs'!C82)</f>
        <v>330.2</v>
      </c>
      <c r="D86" s="80">
        <f>IF(C86=0,"",'Metric Calcs'!D82)</f>
        <v>0.11672375477842277</v>
      </c>
      <c r="E86" s="80">
        <f>IF(OR(E84=1,E84=""),"",IF('Metric Data'!$B$2,'Metric Calcs'!E82,'Metric Calcs'!F82))</f>
        <v>3.0453342489027327E-2</v>
      </c>
      <c r="F86" s="30">
        <f>IF(OR(F84=1,F84=""),"",IF('Metric Data'!$B$2,'Metric Calcs'!F82,'Metric Calcs'!H82))</f>
        <v>11.672375477842277</v>
      </c>
      <c r="G86" s="30">
        <f>IF(OR(G84=1,G84=""),"",IF('Metric Data'!$B$2,'Metric Calcs'!G82,'Metric Calcs'!K82))</f>
        <v>0.30453342489027324</v>
      </c>
      <c r="H86" s="30">
        <f>IF(OR(H84=1,H84=""),"",IF('Metric Data'!$B$2,'Metric Calcs'!H82,'Metric Calcs'!N82))</f>
        <v>1.2036364389069796</v>
      </c>
      <c r="I86" s="30">
        <f>IF(OR(I84=1,I84=""),"",IF('Metric Data'!$B$2,'Metric Calcs'!K82,'Metric Calcs'!W82))</f>
        <v>13.18054534163953</v>
      </c>
      <c r="J86" s="30">
        <f>IF('Metric Data'!$B$2,'Metric Calcs'!N82,"")</f>
        <v>106.83541863853885</v>
      </c>
      <c r="K86" s="30">
        <f>IF('Metric Data'!$B$2,'Metric Calcs'!W82,"")</f>
        <v>100.3302</v>
      </c>
      <c r="L86" s="37">
        <f>IF('Metric Data'!$B$2,J86,H86)</f>
        <v>106.83541863853885</v>
      </c>
      <c r="M86" s="112">
        <f>IF('Metric Data'!$B$2,K86,I86)</f>
        <v>100.3302</v>
      </c>
      <c r="O86" s="32">
        <f t="shared" si="13"/>
        <v>100.3302</v>
      </c>
      <c r="Q86" s="112">
        <f t="shared" si="14"/>
        <v>0.33019999999999727</v>
      </c>
      <c r="R86" s="32">
        <f t="shared" si="16"/>
        <v>0.33019999999999727</v>
      </c>
      <c r="S86" s="32">
        <f t="shared" si="15"/>
        <v>518.91910793846705</v>
      </c>
      <c r="U86" s="32">
        <f t="shared" si="10"/>
        <v>1</v>
      </c>
      <c r="X86" s="30" t="str" cm="1">
        <f t="array" ref="X86">IF($AP$21="INVERT",R86,IF(X85&gt;=$S$12,"",IF(R85="","",INDEX($R$18:$R$227,$U$17-ROWS($R$18:$R85)))))</f>
        <v/>
      </c>
      <c r="Y86" s="30" t="str">
        <f t="shared" si="11"/>
        <v/>
      </c>
      <c r="Z86" s="30" t="str">
        <f>IF(Z85="","",IF($AP$21="TYP",IF(S85="","",INDEX($S$18:$S$227,$U$17-ROWS($S$18:$S85))),IF($AP$21="INVERT",S86,"")))</f>
        <v/>
      </c>
      <c r="AA86" s="75" t="str">
        <f t="shared" si="12"/>
        <v/>
      </c>
      <c r="AB86" s="75"/>
      <c r="AC86" s="35"/>
      <c r="AD86" s="35"/>
      <c r="AE86" s="35"/>
      <c r="AF86" s="35"/>
      <c r="AG86" s="35"/>
      <c r="AH86" s="35"/>
      <c r="AI86" s="35"/>
      <c r="AJ86" s="35"/>
      <c r="AK86" s="35"/>
      <c r="AL86" s="35"/>
      <c r="AM86" s="35"/>
    </row>
    <row r="87" spans="1:39" x14ac:dyDescent="0.2">
      <c r="A87" s="32">
        <f t="shared" si="9"/>
        <v>87</v>
      </c>
      <c r="C87" s="36">
        <f>IF(OR(C86&lt;30,C86=""),"",'Metric Calcs'!C83)</f>
        <v>304.79999999999995</v>
      </c>
      <c r="D87" s="80">
        <f>IF(C87=0,"",'Metric Calcs'!D83)</f>
        <v>0.11713257907404785</v>
      </c>
      <c r="E87" s="80">
        <f>IF(OR(E85=1,E85=""),"",IF('Metric Data'!$B$2,'Metric Calcs'!E83,'Metric Calcs'!F83))</f>
        <v>3.0660425031856155E-2</v>
      </c>
      <c r="F87" s="30">
        <f>IF(OR(F85=1,F85=""),"",IF('Metric Data'!$B$2,'Metric Calcs'!F83,'Metric Calcs'!H83))</f>
        <v>11.713257907404785</v>
      </c>
      <c r="G87" s="30">
        <f>IF(OR(G85=1,G85=""),"",IF('Metric Data'!$B$2,'Metric Calcs'!G83,'Metric Calcs'!K83))</f>
        <v>0.30660425031856153</v>
      </c>
      <c r="H87" s="30">
        <f>IF(OR(H85=1,H85=""),"",IF('Metric Data'!$B$2,'Metric Calcs'!H83,'Metric Calcs'!N83))</f>
        <v>1.1864551369106615</v>
      </c>
      <c r="I87" s="30">
        <f>IF(OR(I85=1,I85=""),"",IF('Metric Data'!$B$2,'Metric Calcs'!K83,'Metric Calcs'!W83))</f>
        <v>13.206317294634008</v>
      </c>
      <c r="J87" s="30">
        <f>IF('Metric Data'!$B$2,'Metric Calcs'!N83,"")</f>
        <v>93.654873296899325</v>
      </c>
      <c r="K87" s="30">
        <f>IF('Metric Data'!$B$2,'Metric Calcs'!W83,"")</f>
        <v>100.3048</v>
      </c>
      <c r="L87" s="37">
        <f>IF('Metric Data'!$B$2,J87,H87)</f>
        <v>93.654873296899325</v>
      </c>
      <c r="M87" s="112">
        <f>IF('Metric Data'!$B$2,K87,I87)</f>
        <v>100.3048</v>
      </c>
      <c r="O87" s="32">
        <f t="shared" si="13"/>
        <v>100.3048</v>
      </c>
      <c r="Q87" s="112">
        <f t="shared" si="14"/>
        <v>0.3047999999999973</v>
      </c>
      <c r="R87" s="32">
        <f t="shared" si="16"/>
        <v>0.3047999999999973</v>
      </c>
      <c r="S87" s="32">
        <f t="shared" si="15"/>
        <v>519.93375175714698</v>
      </c>
      <c r="U87" s="32">
        <f t="shared" si="10"/>
        <v>1</v>
      </c>
      <c r="X87" s="30" t="str" cm="1">
        <f t="array" ref="X87">IF($AP$21="INVERT",R87,IF(X86&gt;=$S$12,"",IF(R86="","",INDEX($R$18:$R$227,$U$17-ROWS($R$18:$R86)))))</f>
        <v/>
      </c>
      <c r="Y87" s="30" t="str">
        <f t="shared" si="11"/>
        <v/>
      </c>
      <c r="Z87" s="30" t="str">
        <f>IF(Z86="","",IF($AP$21="TYP",IF(S86="","",INDEX($S$18:$S$227,$U$17-ROWS($S$18:$S86))),IF($AP$21="INVERT",S87,"")))</f>
        <v/>
      </c>
      <c r="AA87" s="75" t="str">
        <f t="shared" si="12"/>
        <v/>
      </c>
      <c r="AB87" s="75"/>
      <c r="AC87" s="35"/>
      <c r="AD87" s="35"/>
      <c r="AE87" s="35"/>
      <c r="AF87" s="35"/>
      <c r="AG87" s="35"/>
      <c r="AH87" s="35"/>
      <c r="AI87" s="35"/>
      <c r="AJ87" s="35"/>
      <c r="AK87" s="35"/>
      <c r="AL87" s="35"/>
      <c r="AM87" s="35"/>
    </row>
    <row r="88" spans="1:39" x14ac:dyDescent="0.2">
      <c r="A88" s="32">
        <f t="shared" si="9"/>
        <v>88</v>
      </c>
      <c r="C88" s="36">
        <f>IF(OR(C87&lt;30,C87=""),"",'Metric Calcs'!C84)</f>
        <v>279.39999999999998</v>
      </c>
      <c r="D88" s="80">
        <f>IF(C88=0,"",'Metric Calcs'!D84)</f>
        <v>0.11751307971117091</v>
      </c>
      <c r="E88" s="80">
        <f>IF(OR(E86=1,E86=""),"",IF('Metric Data'!$B$2,'Metric Calcs'!E84,'Metric Calcs'!F84))</f>
        <v>3.0811307093303132E-2</v>
      </c>
      <c r="F88" s="30">
        <f>IF(OR(F86=1,F86=""),"",IF('Metric Data'!$B$2,'Metric Calcs'!F84,'Metric Calcs'!H84))</f>
        <v>11.751307971117091</v>
      </c>
      <c r="G88" s="30">
        <f>IF(OR(G86=1,G86=""),"",IF('Metric Data'!$B$2,'Metric Calcs'!G84,'Metric Calcs'!K84))</f>
        <v>0.30811307093303131</v>
      </c>
      <c r="H88" s="30">
        <f>IF(OR(H86=1,H86=""),"",IF('Metric Data'!$B$2,'Metric Calcs'!H84,'Metric Calcs'!N84))</f>
        <v>1.1706315831799508</v>
      </c>
      <c r="I88" s="30">
        <f>IF(OR(I86=1,I86=""),"",IF('Metric Data'!$B$2,'Metric Calcs'!K84,'Metric Calcs'!W84))</f>
        <v>13.230052625230073</v>
      </c>
      <c r="J88" s="30">
        <f>IF('Metric Data'!$B$2,'Metric Calcs'!N84,"")</f>
        <v>80.44855600226532</v>
      </c>
      <c r="K88" s="30">
        <f>IF('Metric Data'!$B$2,'Metric Calcs'!W84,"")</f>
        <v>100.2794</v>
      </c>
      <c r="L88" s="37">
        <f>IF('Metric Data'!$B$2,J88,H88)</f>
        <v>80.44855600226532</v>
      </c>
      <c r="M88" s="112">
        <f>IF('Metric Data'!$B$2,K88,I88)</f>
        <v>100.2794</v>
      </c>
      <c r="O88" s="32">
        <f t="shared" si="13"/>
        <v>100.2794</v>
      </c>
      <c r="Q88" s="112">
        <f t="shared" si="14"/>
        <v>0.27939999999999732</v>
      </c>
      <c r="R88" s="32">
        <f t="shared" si="16"/>
        <v>0.27939999999999732</v>
      </c>
      <c r="S88" s="32">
        <f t="shared" si="15"/>
        <v>520.86821359192913</v>
      </c>
      <c r="U88" s="32">
        <f t="shared" si="10"/>
        <v>1</v>
      </c>
      <c r="X88" s="30" t="str" cm="1">
        <f t="array" ref="X88">IF($AP$21="INVERT",R88,IF(X87&gt;=$S$12,"",IF(R87="","",INDEX($R$18:$R$227,$U$17-ROWS($R$18:$R87)))))</f>
        <v/>
      </c>
      <c r="Y88" s="30" t="str">
        <f t="shared" si="11"/>
        <v/>
      </c>
      <c r="Z88" s="30" t="str">
        <f>IF(Z87="","",IF($AP$21="TYP",IF(S87="","",INDEX($S$18:$S$227,$U$17-ROWS($S$18:$S87))),IF($AP$21="INVERT",S88,"")))</f>
        <v/>
      </c>
      <c r="AA88" s="75" t="str">
        <f t="shared" si="12"/>
        <v/>
      </c>
      <c r="AB88" s="75"/>
      <c r="AC88" s="35"/>
      <c r="AD88" s="35"/>
      <c r="AE88" s="35"/>
      <c r="AF88" s="35"/>
      <c r="AG88" s="35"/>
      <c r="AH88" s="35"/>
      <c r="AI88" s="35"/>
      <c r="AJ88" s="35"/>
      <c r="AK88" s="35"/>
      <c r="AL88" s="35"/>
      <c r="AM88" s="35"/>
    </row>
    <row r="89" spans="1:39" x14ac:dyDescent="0.2">
      <c r="A89" s="32">
        <f t="shared" si="9"/>
        <v>89</v>
      </c>
      <c r="C89" s="36">
        <f>IF(OR(C88&lt;30,C88=""),"",'Metric Calcs'!C85)</f>
        <v>254</v>
      </c>
      <c r="D89" s="80">
        <f>IF(C89=0,"",'Metric Calcs'!D85)</f>
        <v>0.11810884836471754</v>
      </c>
      <c r="E89" s="80">
        <f>IF(OR(E87=1,E87=""),"",IF('Metric Data'!$B$2,'Metric Calcs'!E85,'Metric Calcs'!F85))</f>
        <v>3.1328745858700269E-2</v>
      </c>
      <c r="F89" s="30">
        <f>IF(OR(F87=1,F87=""),"",IF('Metric Data'!$B$2,'Metric Calcs'!F85,'Metric Calcs'!H85))</f>
        <v>11.810884836471754</v>
      </c>
      <c r="G89" s="30">
        <f>IF(OR(G87=1,G87=""),"",IF('Metric Data'!$B$2,'Metric Calcs'!G85,'Metric Calcs'!K85))</f>
        <v>0.31328745858700269</v>
      </c>
      <c r="H89" s="30">
        <f>IF(OR(H87=1,H87=""),"",IF('Metric Data'!$B$2,'Metric Calcs'!H85,'Metric Calcs'!N85))</f>
        <v>1.1447310819764973</v>
      </c>
      <c r="I89" s="30">
        <f>IF(OR(I87=1,I87=""),"",IF('Metric Data'!$B$2,'Metric Calcs'!K85,'Metric Calcs'!W85))</f>
        <v>13.268903377035253</v>
      </c>
      <c r="J89" s="30">
        <f>IF('Metric Data'!$B$2,'Metric Calcs'!N85,"")</f>
        <v>67.218503377035248</v>
      </c>
      <c r="K89" s="30">
        <f>IF('Metric Data'!$B$2,'Metric Calcs'!W85,"")</f>
        <v>100.254</v>
      </c>
      <c r="L89" s="37">
        <f>IF('Metric Data'!$B$2,J89,H89)</f>
        <v>67.218503377035248</v>
      </c>
      <c r="M89" s="112">
        <f>IF('Metric Data'!$B$2,K89,I89)</f>
        <v>100.254</v>
      </c>
      <c r="O89" s="32">
        <f t="shared" si="13"/>
        <v>100.254</v>
      </c>
      <c r="Q89" s="112">
        <f t="shared" si="14"/>
        <v>0.25399999999999734</v>
      </c>
      <c r="R89" s="32">
        <f t="shared" si="16"/>
        <v>0.25399999999999734</v>
      </c>
      <c r="S89" s="32">
        <f t="shared" si="15"/>
        <v>522.39777074932158</v>
      </c>
      <c r="U89" s="32">
        <f t="shared" si="10"/>
        <v>1</v>
      </c>
      <c r="X89" s="30" t="str" cm="1">
        <f t="array" ref="X89">IF($AP$21="INVERT",R89,IF(X88&gt;=$S$12,"",IF(R88="","",INDEX($R$18:$R$227,$U$17-ROWS($R$18:$R88)))))</f>
        <v/>
      </c>
      <c r="Y89" s="30" t="str">
        <f t="shared" si="11"/>
        <v/>
      </c>
      <c r="Z89" s="30" t="str">
        <f>IF(Z88="","",IF($AP$21="TYP",IF(S88="","",INDEX($S$18:$S$227,$U$17-ROWS($S$18:$S88))),IF($AP$21="INVERT",S89,"")))</f>
        <v/>
      </c>
      <c r="AA89" s="75" t="str">
        <f t="shared" si="12"/>
        <v/>
      </c>
      <c r="AB89" s="75"/>
      <c r="AC89" s="35"/>
      <c r="AD89" s="35"/>
      <c r="AE89" s="35"/>
      <c r="AF89" s="35"/>
      <c r="AG89" s="35"/>
      <c r="AH89" s="35"/>
      <c r="AI89" s="35"/>
      <c r="AJ89" s="35"/>
      <c r="AK89" s="35"/>
      <c r="AL89" s="35"/>
      <c r="AM89" s="35"/>
    </row>
    <row r="90" spans="1:39" x14ac:dyDescent="0.2">
      <c r="A90" s="32">
        <f t="shared" si="9"/>
        <v>90</v>
      </c>
      <c r="C90" s="36">
        <f>IF(OR(C89&lt;30,C89=""),"",'Metric Calcs'!C86)</f>
        <v>228.6</v>
      </c>
      <c r="D90" s="80">
        <f>IF(C90=0,"",'Metric Calcs'!D86)</f>
        <v>0</v>
      </c>
      <c r="E90" s="80">
        <f>IF(OR(E88=1,E88=""),"",IF('Metric Data'!$B$2,'Metric Calcs'!E86,'Metric Calcs'!F86))</f>
        <v>0</v>
      </c>
      <c r="F90" s="30">
        <f>IF(OR(F88=1,F88=""),"",IF('Metric Data'!$B$2,'Metric Calcs'!F86,'Metric Calcs'!H86))</f>
        <v>0</v>
      </c>
      <c r="G90" s="30">
        <f>IF(OR(G88=1,G88=""),"",IF('Metric Data'!$B$2,'Metric Calcs'!G86,'Metric Calcs'!K86))</f>
        <v>0</v>
      </c>
      <c r="H90" s="30">
        <f>IF(OR(H88=1,H88=""),"",IF('Metric Data'!$B$2,'Metric Calcs'!H86,'Metric Calcs'!N86))</f>
        <v>5.9943999999999997</v>
      </c>
      <c r="I90" s="30">
        <f>IF(OR(I88=1,I88=""),"",IF('Metric Data'!$B$2,'Metric Calcs'!K86,'Metric Calcs'!W86))</f>
        <v>5.9943999999999997</v>
      </c>
      <c r="J90" s="30">
        <f>IF('Metric Data'!$B$2,'Metric Calcs'!N86,"")</f>
        <v>53.949599999999997</v>
      </c>
      <c r="K90" s="30">
        <f>IF('Metric Data'!$B$2,'Metric Calcs'!W86,"")</f>
        <v>100.2286</v>
      </c>
      <c r="L90" s="37">
        <f>IF('Metric Data'!$B$2,J90,H90)</f>
        <v>53.949599999999997</v>
      </c>
      <c r="M90" s="112">
        <f>IF('Metric Data'!$B$2,K90,I90)</f>
        <v>100.2286</v>
      </c>
      <c r="O90" s="32">
        <f t="shared" si="13"/>
        <v>100.2286</v>
      </c>
      <c r="Q90" s="112">
        <f t="shared" si="14"/>
        <v>0.22859999999999733</v>
      </c>
      <c r="R90" s="32">
        <f t="shared" si="16"/>
        <v>0.22859999999999733</v>
      </c>
      <c r="S90" s="32">
        <f t="shared" si="15"/>
        <v>235.9999999999558</v>
      </c>
      <c r="U90" s="32">
        <f t="shared" si="10"/>
        <v>1</v>
      </c>
      <c r="X90" s="30" t="str" cm="1">
        <f t="array" ref="X90">IF($AP$21="INVERT",R90,IF(X89&gt;=$S$12,"",IF(R89="","",INDEX($R$18:$R$227,$U$17-ROWS($R$18:$R89)))))</f>
        <v/>
      </c>
      <c r="Y90" s="30" t="str">
        <f t="shared" si="11"/>
        <v/>
      </c>
      <c r="Z90" s="30" t="str">
        <f>IF(Z89="","",IF($AP$21="TYP",IF(S89="","",INDEX($S$18:$S$227,$U$17-ROWS($S$18:$S89))),IF($AP$21="INVERT",S90,"")))</f>
        <v/>
      </c>
      <c r="AA90" s="75" t="str">
        <f t="shared" si="12"/>
        <v/>
      </c>
      <c r="AB90" s="75"/>
      <c r="AC90" s="35"/>
      <c r="AD90" s="35"/>
      <c r="AE90" s="35"/>
      <c r="AF90" s="35"/>
      <c r="AG90" s="35"/>
      <c r="AH90" s="35"/>
      <c r="AI90" s="35"/>
      <c r="AJ90" s="35"/>
      <c r="AK90" s="35"/>
      <c r="AL90" s="35"/>
      <c r="AM90" s="35"/>
    </row>
    <row r="91" spans="1:39" x14ac:dyDescent="0.2">
      <c r="A91" s="32">
        <f t="shared" si="9"/>
        <v>91</v>
      </c>
      <c r="C91" s="36">
        <f>IF(OR(C90&lt;30,C90=""),"",'Metric Calcs'!C87)</f>
        <v>203.2</v>
      </c>
      <c r="D91" s="80">
        <f>IF(C91=0,"",'Metric Calcs'!D87)</f>
        <v>0</v>
      </c>
      <c r="E91" s="80">
        <f>IF(OR(E89=1,E89=""),"",IF('Metric Data'!$B$2,'Metric Calcs'!E87,'Metric Calcs'!F87))</f>
        <v>0</v>
      </c>
      <c r="F91" s="30">
        <f>IF(OR(F89=1,F89=""),"",IF('Metric Data'!$B$2,'Metric Calcs'!F87,'Metric Calcs'!H87))</f>
        <v>0</v>
      </c>
      <c r="G91" s="30">
        <f>IF(OR(G89=1,G89=""),"",IF('Metric Data'!$B$2,'Metric Calcs'!G87,'Metric Calcs'!K87))</f>
        <v>0</v>
      </c>
      <c r="H91" s="30">
        <f>IF(OR(H89=1,H89=""),"",IF('Metric Data'!$B$2,'Metric Calcs'!H87,'Metric Calcs'!N87))</f>
        <v>5.9943999999999997</v>
      </c>
      <c r="I91" s="30">
        <f>IF(OR(I89=1,I89=""),"",IF('Metric Data'!$B$2,'Metric Calcs'!K87,'Metric Calcs'!W87))</f>
        <v>5.9943999999999997</v>
      </c>
      <c r="J91" s="30">
        <f>IF('Metric Data'!$B$2,'Metric Calcs'!N87,"")</f>
        <v>47.955199999999998</v>
      </c>
      <c r="K91" s="30">
        <f>IF('Metric Data'!$B$2,'Metric Calcs'!W87,"")</f>
        <v>100.2032</v>
      </c>
      <c r="L91" s="37">
        <f>IF('Metric Data'!$B$2,J91,H91)</f>
        <v>47.955199999999998</v>
      </c>
      <c r="M91" s="112">
        <f>IF('Metric Data'!$B$2,K91,I91)</f>
        <v>100.2032</v>
      </c>
      <c r="O91" s="32">
        <f t="shared" si="13"/>
        <v>100.2032</v>
      </c>
      <c r="Q91" s="112">
        <f t="shared" si="14"/>
        <v>0.20319999999999733</v>
      </c>
      <c r="R91" s="32">
        <f t="shared" si="16"/>
        <v>0.20319999999999733</v>
      </c>
      <c r="S91" s="32">
        <f t="shared" si="15"/>
        <v>236.00000000008785</v>
      </c>
      <c r="U91" s="32">
        <f t="shared" si="10"/>
        <v>1</v>
      </c>
      <c r="X91" s="30" t="str" cm="1">
        <f t="array" ref="X91">IF($AP$21="INVERT",R91,IF(X90&gt;=$S$12,"",IF(R90="","",INDEX($R$18:$R$227,$U$17-ROWS($R$18:$R90)))))</f>
        <v/>
      </c>
      <c r="Y91" s="30" t="str">
        <f t="shared" si="11"/>
        <v/>
      </c>
      <c r="Z91" s="30" t="str">
        <f>IF(Z90="","",IF($AP$21="TYP",IF(S90="","",INDEX($S$18:$S$227,$U$17-ROWS($S$18:$S90))),IF($AP$21="INVERT",S91,"")))</f>
        <v/>
      </c>
      <c r="AA91" s="75" t="str">
        <f t="shared" si="12"/>
        <v/>
      </c>
      <c r="AB91" s="75"/>
      <c r="AC91" s="35"/>
      <c r="AD91" s="35"/>
      <c r="AE91" s="35"/>
      <c r="AF91" s="35"/>
      <c r="AG91" s="35"/>
      <c r="AH91" s="35"/>
      <c r="AI91" s="35"/>
      <c r="AJ91" s="35"/>
      <c r="AK91" s="35"/>
      <c r="AL91" s="35"/>
      <c r="AM91" s="35"/>
    </row>
    <row r="92" spans="1:39" x14ac:dyDescent="0.2">
      <c r="A92" s="32">
        <f t="shared" si="9"/>
        <v>92</v>
      </c>
      <c r="C92" s="36">
        <f>IF(OR(C91&lt;30,C91=""),"",'Metric Calcs'!C88)</f>
        <v>177.79999999999998</v>
      </c>
      <c r="D92" s="80">
        <f>IF(C92=0,"",'Metric Calcs'!D88)</f>
        <v>0</v>
      </c>
      <c r="E92" s="80">
        <f>IF(OR(E90=1,E90=""),"",IF('Metric Data'!$B$2,'Metric Calcs'!E88,'Metric Calcs'!F88))</f>
        <v>0</v>
      </c>
      <c r="F92" s="30">
        <f>IF(OR(F90=1,F90=""),"",IF('Metric Data'!$B$2,'Metric Calcs'!F88,'Metric Calcs'!H88))</f>
        <v>0</v>
      </c>
      <c r="G92" s="30">
        <f>IF(OR(G90=1,G90=""),"",IF('Metric Data'!$B$2,'Metric Calcs'!G88,'Metric Calcs'!K88))</f>
        <v>0</v>
      </c>
      <c r="H92" s="30">
        <f>IF(OR(H90=1,H90=""),"",IF('Metric Data'!$B$2,'Metric Calcs'!H88,'Metric Calcs'!N88))</f>
        <v>5.9943999999999997</v>
      </c>
      <c r="I92" s="30">
        <f>IF(OR(I90=1,I90=""),"",IF('Metric Data'!$B$2,'Metric Calcs'!K88,'Metric Calcs'!W88))</f>
        <v>5.9943999999999997</v>
      </c>
      <c r="J92" s="30">
        <f>IF('Metric Data'!$B$2,'Metric Calcs'!N88,"")</f>
        <v>41.960799999999999</v>
      </c>
      <c r="K92" s="30">
        <f>IF('Metric Data'!$B$2,'Metric Calcs'!W88,"")</f>
        <v>100.1778</v>
      </c>
      <c r="L92" s="37">
        <f>IF('Metric Data'!$B$2,J92,H92)</f>
        <v>41.960799999999999</v>
      </c>
      <c r="M92" s="112">
        <f>IF('Metric Data'!$B$2,K92,I92)</f>
        <v>100.1778</v>
      </c>
      <c r="O92" s="32">
        <f t="shared" si="13"/>
        <v>100.1778</v>
      </c>
      <c r="Q92" s="112">
        <f t="shared" si="14"/>
        <v>0.17779999999999732</v>
      </c>
      <c r="R92" s="32">
        <f t="shared" si="16"/>
        <v>0.17779999999999732</v>
      </c>
      <c r="S92" s="32">
        <f t="shared" si="15"/>
        <v>235.9999999999558</v>
      </c>
      <c r="U92" s="32">
        <f t="shared" si="10"/>
        <v>1</v>
      </c>
      <c r="X92" s="30" t="str" cm="1">
        <f t="array" ref="X92">IF($AP$21="INVERT",R92,IF(X91&gt;=$S$12,"",IF(R91="","",INDEX($R$18:$R$227,$U$17-ROWS($R$18:$R91)))))</f>
        <v/>
      </c>
      <c r="Y92" s="30" t="str">
        <f t="shared" si="11"/>
        <v/>
      </c>
      <c r="Z92" s="30" t="str">
        <f>IF(Z91="","",IF($AP$21="TYP",IF(S91="","",INDEX($S$18:$S$227,$U$17-ROWS($S$18:$S91))),IF($AP$21="INVERT",S92,"")))</f>
        <v/>
      </c>
      <c r="AA92" s="75" t="str">
        <f t="shared" si="12"/>
        <v/>
      </c>
      <c r="AB92" s="75"/>
      <c r="AC92" s="35"/>
      <c r="AD92" s="35"/>
      <c r="AE92" s="35"/>
      <c r="AF92" s="35"/>
      <c r="AG92" s="35"/>
      <c r="AH92" s="35"/>
      <c r="AI92" s="35"/>
      <c r="AJ92" s="35"/>
      <c r="AK92" s="35"/>
      <c r="AL92" s="35"/>
      <c r="AM92" s="35"/>
    </row>
    <row r="93" spans="1:39" x14ac:dyDescent="0.2">
      <c r="A93" s="32">
        <f t="shared" si="9"/>
        <v>93</v>
      </c>
      <c r="C93" s="36">
        <f>IF(OR(C92&lt;30,C92=""),"",'Metric Calcs'!C89)</f>
        <v>152.39999999999998</v>
      </c>
      <c r="D93" s="80">
        <f>IF(C93=0,"",'Metric Calcs'!D89)</f>
        <v>0</v>
      </c>
      <c r="E93" s="80">
        <f>IF(OR(E91=1,E91=""),"",IF('Metric Data'!$B$2,'Metric Calcs'!E89,'Metric Calcs'!F89))</f>
        <v>0</v>
      </c>
      <c r="F93" s="30">
        <f>IF(OR(F91=1,F91=""),"",IF('Metric Data'!$B$2,'Metric Calcs'!F89,'Metric Calcs'!H89))</f>
        <v>0</v>
      </c>
      <c r="G93" s="30">
        <f>IF(OR(G91=1,G91=""),"",IF('Metric Data'!$B$2,'Metric Calcs'!G89,'Metric Calcs'!K89))</f>
        <v>0</v>
      </c>
      <c r="H93" s="30">
        <f>IF(OR(H91=1,H91=""),"",IF('Metric Data'!$B$2,'Metric Calcs'!H89,'Metric Calcs'!N89))</f>
        <v>5.9943999999999997</v>
      </c>
      <c r="I93" s="30">
        <f>IF(OR(I91=1,I91=""),"",IF('Metric Data'!$B$2,'Metric Calcs'!K89,'Metric Calcs'!W89))</f>
        <v>5.9943999999999997</v>
      </c>
      <c r="J93" s="30">
        <f>IF('Metric Data'!$B$2,'Metric Calcs'!N89,"")</f>
        <v>35.9664</v>
      </c>
      <c r="K93" s="30">
        <f>IF('Metric Data'!$B$2,'Metric Calcs'!W89,"")</f>
        <v>100.1524</v>
      </c>
      <c r="L93" s="37">
        <f>IF('Metric Data'!$B$2,J93,H93)</f>
        <v>35.9664</v>
      </c>
      <c r="M93" s="112">
        <f>IF('Metric Data'!$B$2,K93,I93)</f>
        <v>100.1524</v>
      </c>
      <c r="O93" s="32">
        <f t="shared" si="13"/>
        <v>100.1524</v>
      </c>
      <c r="Q93" s="112">
        <f t="shared" si="14"/>
        <v>0.15239999999999732</v>
      </c>
      <c r="R93" s="32">
        <f t="shared" si="16"/>
        <v>0.15239999999999732</v>
      </c>
      <c r="S93" s="32">
        <f t="shared" si="15"/>
        <v>235.99999999995595</v>
      </c>
      <c r="U93" s="32">
        <f t="shared" si="10"/>
        <v>1</v>
      </c>
      <c r="X93" s="30" t="str" cm="1">
        <f t="array" ref="X93">IF($AP$21="INVERT",R93,IF(X92&gt;=$S$12,"",IF(R92="","",INDEX($R$18:$R$227,$U$17-ROWS($R$18:$R92)))))</f>
        <v/>
      </c>
      <c r="Y93" s="30" t="str">
        <f t="shared" si="11"/>
        <v/>
      </c>
      <c r="Z93" s="30" t="str">
        <f>IF(Z92="","",IF($AP$21="TYP",IF(S92="","",INDEX($S$18:$S$227,$U$17-ROWS($S$18:$S92))),IF($AP$21="INVERT",S93,"")))</f>
        <v/>
      </c>
      <c r="AA93" s="75" t="str">
        <f t="shared" si="12"/>
        <v/>
      </c>
      <c r="AB93" s="75"/>
      <c r="AC93" s="35"/>
      <c r="AD93" s="35"/>
      <c r="AE93" s="35"/>
      <c r="AF93" s="35"/>
      <c r="AG93" s="35"/>
      <c r="AH93" s="35"/>
      <c r="AI93" s="35"/>
      <c r="AJ93" s="35"/>
      <c r="AK93" s="35"/>
      <c r="AL93" s="35"/>
      <c r="AM93" s="35"/>
    </row>
    <row r="94" spans="1:39" x14ac:dyDescent="0.2">
      <c r="A94" s="32">
        <f t="shared" si="9"/>
        <v>94</v>
      </c>
      <c r="C94" s="36">
        <f>IF(OR(C93&lt;30,C93=""),"",'Metric Calcs'!C90)</f>
        <v>127</v>
      </c>
      <c r="D94" s="80">
        <f>IF(C94=0,"",'Metric Calcs'!D90)</f>
        <v>0</v>
      </c>
      <c r="E94" s="80">
        <f>IF(OR(E92=1,E92=""),"",IF('Metric Data'!$B$2,'Metric Calcs'!E90,'Metric Calcs'!F90))</f>
        <v>0</v>
      </c>
      <c r="F94" s="30">
        <f>IF(OR(F92=1,F92=""),"",IF('Metric Data'!$B$2,'Metric Calcs'!F90,'Metric Calcs'!H90))</f>
        <v>0</v>
      </c>
      <c r="G94" s="30">
        <f>IF(OR(G92=1,G92=""),"",IF('Metric Data'!$B$2,'Metric Calcs'!G90,'Metric Calcs'!K90))</f>
        <v>0</v>
      </c>
      <c r="H94" s="30">
        <f>IF(OR(H92=1,H92=""),"",IF('Metric Data'!$B$2,'Metric Calcs'!H90,'Metric Calcs'!N90))</f>
        <v>5.9943999999999997</v>
      </c>
      <c r="I94" s="30">
        <f>IF(OR(I92=1,I92=""),"",IF('Metric Data'!$B$2,'Metric Calcs'!K90,'Metric Calcs'!W90))</f>
        <v>5.9943999999999997</v>
      </c>
      <c r="J94" s="30">
        <f>IF('Metric Data'!$B$2,'Metric Calcs'!N90,"")</f>
        <v>29.971999999999998</v>
      </c>
      <c r="K94" s="30">
        <f>IF('Metric Data'!$B$2,'Metric Calcs'!W90,"")</f>
        <v>100.127</v>
      </c>
      <c r="L94" s="37">
        <f>IF('Metric Data'!$B$2,J94,H94)</f>
        <v>29.971999999999998</v>
      </c>
      <c r="M94" s="112">
        <f>IF('Metric Data'!$B$2,K94,I94)</f>
        <v>100.127</v>
      </c>
      <c r="O94" s="32">
        <f t="shared" si="13"/>
        <v>100.127</v>
      </c>
      <c r="Q94" s="112">
        <f t="shared" si="14"/>
        <v>0.12699999999999731</v>
      </c>
      <c r="R94" s="32">
        <f t="shared" si="16"/>
        <v>0.12699999999999731</v>
      </c>
      <c r="S94" s="32">
        <f t="shared" si="15"/>
        <v>236.00000000008785</v>
      </c>
      <c r="U94" s="32">
        <f t="shared" si="10"/>
        <v>1</v>
      </c>
      <c r="X94" s="30" t="str" cm="1">
        <f t="array" ref="X94">IF($AP$21="INVERT",R94,IF(X93&gt;=$S$12,"",IF(R93="","",INDEX($R$18:$R$227,$U$17-ROWS($R$18:$R93)))))</f>
        <v/>
      </c>
      <c r="Y94" s="30" t="str">
        <f t="shared" si="11"/>
        <v/>
      </c>
      <c r="Z94" s="30" t="str">
        <f>IF(Z93="","",IF($AP$21="TYP",IF(S93="","",INDEX($S$18:$S$227,$U$17-ROWS($S$18:$S93))),IF($AP$21="INVERT",S94,"")))</f>
        <v/>
      </c>
      <c r="AA94" s="75" t="str">
        <f t="shared" si="12"/>
        <v/>
      </c>
      <c r="AB94" s="75"/>
      <c r="AC94" s="35"/>
      <c r="AD94" s="35"/>
      <c r="AE94" s="35"/>
      <c r="AF94" s="35"/>
      <c r="AG94" s="35"/>
      <c r="AH94" s="35"/>
      <c r="AI94" s="35"/>
      <c r="AJ94" s="35"/>
      <c r="AK94" s="35"/>
      <c r="AL94" s="35"/>
      <c r="AM94" s="35"/>
    </row>
    <row r="95" spans="1:39" x14ac:dyDescent="0.2">
      <c r="A95" s="32">
        <f t="shared" si="9"/>
        <v>95</v>
      </c>
      <c r="C95" s="36">
        <f>IF(OR(C94&lt;30,C94=""),"",'Metric Calcs'!C91)</f>
        <v>101.6</v>
      </c>
      <c r="D95" s="80">
        <f>IF(C95=0,"",'Metric Calcs'!D91)</f>
        <v>0</v>
      </c>
      <c r="E95" s="80">
        <f>IF(OR(E93=1,E93=""),"",IF('Metric Data'!$B$2,'Metric Calcs'!E91,'Metric Calcs'!F91))</f>
        <v>0</v>
      </c>
      <c r="F95" s="30">
        <f>IF(OR(F93=1,F93=""),"",IF('Metric Data'!$B$2,'Metric Calcs'!F91,'Metric Calcs'!H91))</f>
        <v>0</v>
      </c>
      <c r="G95" s="30">
        <f>IF(OR(G93=1,G93=""),"",IF('Metric Data'!$B$2,'Metric Calcs'!G91,'Metric Calcs'!K91))</f>
        <v>0</v>
      </c>
      <c r="H95" s="30">
        <f>IF(OR(H93=1,H93=""),"",IF('Metric Data'!$B$2,'Metric Calcs'!H91,'Metric Calcs'!N91))</f>
        <v>5.9943999999999997</v>
      </c>
      <c r="I95" s="30">
        <f>IF(OR(I93=1,I93=""),"",IF('Metric Data'!$B$2,'Metric Calcs'!K91,'Metric Calcs'!W91))</f>
        <v>5.9943999999999997</v>
      </c>
      <c r="J95" s="30">
        <f>IF('Metric Data'!$B$2,'Metric Calcs'!N91,"")</f>
        <v>23.977599999999999</v>
      </c>
      <c r="K95" s="30">
        <f>IF('Metric Data'!$B$2,'Metric Calcs'!W91,"")</f>
        <v>100.1016</v>
      </c>
      <c r="L95" s="37">
        <f>IF('Metric Data'!$B$2,J95,H95)</f>
        <v>23.977599999999999</v>
      </c>
      <c r="M95" s="112">
        <f>IF('Metric Data'!$B$2,K95,I95)</f>
        <v>100.1016</v>
      </c>
      <c r="O95" s="32">
        <f t="shared" si="13"/>
        <v>100.1016</v>
      </c>
      <c r="Q95" s="112">
        <f t="shared" si="14"/>
        <v>0.1015999999999973</v>
      </c>
      <c r="R95" s="32">
        <f t="shared" si="16"/>
        <v>0.1015999999999973</v>
      </c>
      <c r="S95" s="32">
        <f t="shared" si="15"/>
        <v>235.9999999999558</v>
      </c>
      <c r="U95" s="32">
        <f t="shared" si="10"/>
        <v>1</v>
      </c>
      <c r="X95" s="30" t="str" cm="1">
        <f t="array" ref="X95">IF($AP$21="INVERT",R95,IF(X94&gt;=$S$12,"",IF(R94="","",INDEX($R$18:$R$227,$U$17-ROWS($R$18:$R94)))))</f>
        <v/>
      </c>
      <c r="Y95" s="30" t="str">
        <f t="shared" si="11"/>
        <v/>
      </c>
      <c r="Z95" s="30" t="str">
        <f>IF(Z94="","",IF($AP$21="TYP",IF(S94="","",INDEX($S$18:$S$227,$U$17-ROWS($S$18:$S94))),IF($AP$21="INVERT",S95,"")))</f>
        <v/>
      </c>
      <c r="AA95" s="75" t="str">
        <f t="shared" si="12"/>
        <v/>
      </c>
      <c r="AB95" s="75"/>
      <c r="AC95" s="35"/>
      <c r="AD95" s="35"/>
      <c r="AE95" s="35"/>
      <c r="AF95" s="35"/>
      <c r="AG95" s="35"/>
      <c r="AH95" s="35"/>
      <c r="AI95" s="35"/>
      <c r="AJ95" s="35"/>
      <c r="AK95" s="35"/>
      <c r="AL95" s="35"/>
      <c r="AM95" s="35"/>
    </row>
    <row r="96" spans="1:39" x14ac:dyDescent="0.2">
      <c r="A96" s="32">
        <f t="shared" si="9"/>
        <v>96</v>
      </c>
      <c r="C96" s="36">
        <f>IF(OR(C95&lt;30,C95=""),"",'Metric Calcs'!C92)</f>
        <v>76.199999999999989</v>
      </c>
      <c r="D96" s="80">
        <f>IF(C96=0,"",'Metric Calcs'!D92)</f>
        <v>0</v>
      </c>
      <c r="E96" s="80">
        <f>IF(OR(E94=1,E94=""),"",IF('Metric Data'!$B$2,'Metric Calcs'!E92,'Metric Calcs'!F92))</f>
        <v>0</v>
      </c>
      <c r="F96" s="30">
        <f>IF(OR(F94=1,F94=""),"",IF('Metric Data'!$B$2,'Metric Calcs'!F92,'Metric Calcs'!H92))</f>
        <v>0</v>
      </c>
      <c r="G96" s="30">
        <f>IF(OR(G94=1,G94=""),"",IF('Metric Data'!$B$2,'Metric Calcs'!G92,'Metric Calcs'!K92))</f>
        <v>0</v>
      </c>
      <c r="H96" s="30">
        <f>IF(OR(H94=1,H94=""),"",IF('Metric Data'!$B$2,'Metric Calcs'!H92,'Metric Calcs'!N92))</f>
        <v>5.9943999999999997</v>
      </c>
      <c r="I96" s="30">
        <f>IF(OR(I94=1,I94=""),"",IF('Metric Data'!$B$2,'Metric Calcs'!K92,'Metric Calcs'!W92))</f>
        <v>5.9943999999999997</v>
      </c>
      <c r="J96" s="30">
        <f>IF('Metric Data'!$B$2,'Metric Calcs'!N92,"")</f>
        <v>17.9832</v>
      </c>
      <c r="K96" s="30">
        <f>IF('Metric Data'!$B$2,'Metric Calcs'!W92,"")</f>
        <v>100.0762</v>
      </c>
      <c r="L96" s="37">
        <f>IF('Metric Data'!$B$2,J96,H96)</f>
        <v>17.9832</v>
      </c>
      <c r="M96" s="112">
        <f>IF('Metric Data'!$B$2,K96,I96)</f>
        <v>100.0762</v>
      </c>
      <c r="O96" s="32">
        <f t="shared" si="13"/>
        <v>100.0762</v>
      </c>
      <c r="Q96" s="112">
        <f t="shared" si="14"/>
        <v>7.6199999999997298E-2</v>
      </c>
      <c r="R96" s="32">
        <f t="shared" si="16"/>
        <v>7.6199999999997298E-2</v>
      </c>
      <c r="S96" s="32">
        <f t="shared" si="15"/>
        <v>235.99999999995586</v>
      </c>
      <c r="U96" s="32">
        <f t="shared" si="10"/>
        <v>1</v>
      </c>
      <c r="X96" s="30" t="str" cm="1">
        <f t="array" ref="X96">IF($AP$21="INVERT",R96,IF(X95&gt;=$S$12,"",IF(R95="","",INDEX($R$18:$R$227,$U$17-ROWS($R$18:$R95)))))</f>
        <v/>
      </c>
      <c r="Y96" s="30" t="str">
        <f t="shared" si="11"/>
        <v/>
      </c>
      <c r="Z96" s="30" t="str">
        <f>IF(Z95="","",IF($AP$21="TYP",IF(S95="","",INDEX($S$18:$S$227,$U$17-ROWS($S$18:$S95))),IF($AP$21="INVERT",S96,"")))</f>
        <v/>
      </c>
      <c r="AA96" s="75" t="str">
        <f t="shared" si="12"/>
        <v/>
      </c>
      <c r="AB96" s="75"/>
      <c r="AC96" s="35"/>
      <c r="AD96" s="35"/>
      <c r="AE96" s="35"/>
      <c r="AF96" s="35"/>
      <c r="AG96" s="35"/>
      <c r="AH96" s="35"/>
      <c r="AI96" s="35"/>
      <c r="AJ96" s="35"/>
      <c r="AK96" s="35"/>
      <c r="AL96" s="35"/>
      <c r="AM96" s="35"/>
    </row>
    <row r="97" spans="1:39" x14ac:dyDescent="0.2">
      <c r="A97" s="32">
        <f t="shared" si="9"/>
        <v>97</v>
      </c>
      <c r="C97" s="36">
        <f>IF(OR(C96&lt;30,C96=""),"",'Metric Calcs'!C93)</f>
        <v>50.8</v>
      </c>
      <c r="D97" s="80">
        <f>IF(C97=0,"",'Metric Calcs'!D93)</f>
        <v>0</v>
      </c>
      <c r="E97" s="80">
        <f>IF(OR(E95=1,E95=""),"",IF('Metric Data'!$B$2,'Metric Calcs'!E93,'Metric Calcs'!F93))</f>
        <v>0</v>
      </c>
      <c r="F97" s="30">
        <f>IF(OR(F95=1,F95=""),"",IF('Metric Data'!$B$2,'Metric Calcs'!F93,'Metric Calcs'!H93))</f>
        <v>0</v>
      </c>
      <c r="G97" s="30">
        <f>IF(OR(G95=1,G95=""),"",IF('Metric Data'!$B$2,'Metric Calcs'!G93,'Metric Calcs'!K93))</f>
        <v>0</v>
      </c>
      <c r="H97" s="30">
        <f>IF(OR(H95=1,H95=""),"",IF('Metric Data'!$B$2,'Metric Calcs'!H93,'Metric Calcs'!N93))</f>
        <v>5.9943999999999997</v>
      </c>
      <c r="I97" s="30">
        <f>IF(OR(I95=1,I95=""),"",IF('Metric Data'!$B$2,'Metric Calcs'!K93,'Metric Calcs'!W93))</f>
        <v>5.9943999999999997</v>
      </c>
      <c r="J97" s="30">
        <f>IF('Metric Data'!$B$2,'Metric Calcs'!N93,"")</f>
        <v>11.988799999999999</v>
      </c>
      <c r="K97" s="30">
        <f>IF('Metric Data'!$B$2,'Metric Calcs'!W93,"")</f>
        <v>100.0508</v>
      </c>
      <c r="L97" s="37">
        <f>IF('Metric Data'!$B$2,J97,H97)</f>
        <v>11.988799999999999</v>
      </c>
      <c r="M97" s="112">
        <f>IF('Metric Data'!$B$2,K97,I97)</f>
        <v>100.0508</v>
      </c>
      <c r="O97" s="32">
        <f t="shared" si="13"/>
        <v>100.0508</v>
      </c>
      <c r="Q97" s="112">
        <f t="shared" si="14"/>
        <v>5.0799999999997299E-2</v>
      </c>
      <c r="R97" s="32">
        <f t="shared" si="16"/>
        <v>5.0799999999997299E-2</v>
      </c>
      <c r="S97" s="32">
        <f t="shared" si="15"/>
        <v>236.00000000008788</v>
      </c>
      <c r="U97" s="32">
        <f t="shared" si="10"/>
        <v>1</v>
      </c>
      <c r="X97" s="30" t="str" cm="1">
        <f t="array" ref="X97">IF($AP$21="INVERT",R97,IF(X96&gt;=$S$12,"",IF(R96="","",INDEX($R$18:$R$227,$U$17-ROWS($R$18:$R96)))))</f>
        <v/>
      </c>
      <c r="Y97" s="30" t="str">
        <f t="shared" si="11"/>
        <v/>
      </c>
      <c r="Z97" s="30" t="str">
        <f>IF(Z96="","",IF($AP$21="TYP",IF(S96="","",INDEX($S$18:$S$227,$U$17-ROWS($S$18:$S96))),IF($AP$21="INVERT",S97,"")))</f>
        <v/>
      </c>
      <c r="AA97" s="75" t="str">
        <f t="shared" si="12"/>
        <v/>
      </c>
      <c r="AB97" s="75"/>
      <c r="AC97" s="35"/>
      <c r="AD97" s="35"/>
      <c r="AE97" s="35"/>
      <c r="AF97" s="35"/>
      <c r="AG97" s="35"/>
      <c r="AH97" s="35"/>
      <c r="AI97" s="35"/>
      <c r="AJ97" s="35"/>
      <c r="AK97" s="35"/>
      <c r="AL97" s="35"/>
      <c r="AM97" s="35"/>
    </row>
    <row r="98" spans="1:39" x14ac:dyDescent="0.2">
      <c r="A98" s="32">
        <f t="shared" si="9"/>
        <v>98</v>
      </c>
      <c r="C98" s="36">
        <f>IF(OR(C97&lt;30,C97=""),"",'Metric Calcs'!C94)</f>
        <v>25.4</v>
      </c>
      <c r="D98" s="80">
        <f>IF(C98=0,"",'Metric Calcs'!D94)</f>
        <v>0</v>
      </c>
      <c r="E98" s="80">
        <f>IF(OR(E96=1,E96=""),"",IF('Metric Data'!$B$2,'Metric Calcs'!E94,'Metric Calcs'!F94))</f>
        <v>0</v>
      </c>
      <c r="F98" s="30">
        <f>IF(OR(F96=1,F96=""),"",IF('Metric Data'!$B$2,'Metric Calcs'!F94,'Metric Calcs'!H94))</f>
        <v>0</v>
      </c>
      <c r="G98" s="30">
        <f>IF(OR(G96=1,G96=""),"",IF('Metric Data'!$B$2,'Metric Calcs'!G94,'Metric Calcs'!K94))</f>
        <v>0</v>
      </c>
      <c r="H98" s="30">
        <f>IF(OR(H96=1,H96=""),"",IF('Metric Data'!$B$2,'Metric Calcs'!H94,'Metric Calcs'!N94))</f>
        <v>5.9943999999999997</v>
      </c>
      <c r="I98" s="30">
        <f>IF(OR(I96=1,I96=""),"",IF('Metric Data'!$B$2,'Metric Calcs'!K94,'Metric Calcs'!W94))</f>
        <v>5.9943999999999997</v>
      </c>
      <c r="J98" s="30">
        <f>IF('Metric Data'!$B$2,'Metric Calcs'!N94,"")</f>
        <v>5.9943999999999997</v>
      </c>
      <c r="K98" s="30">
        <f>IF('Metric Data'!$B$2,'Metric Calcs'!W94,"")</f>
        <v>100.0254</v>
      </c>
      <c r="L98" s="37">
        <f>IF('Metric Data'!$B$2,J98,H98)</f>
        <v>5.9943999999999997</v>
      </c>
      <c r="M98" s="112">
        <f>IF('Metric Data'!$B$2,K98,I98)</f>
        <v>100.0254</v>
      </c>
      <c r="O98" s="32">
        <f t="shared" si="13"/>
        <v>100</v>
      </c>
      <c r="Q98" s="112">
        <f t="shared" si="14"/>
        <v>2.53999999999973E-2</v>
      </c>
      <c r="R98" s="32">
        <f t="shared" si="16"/>
        <v>2.53999999999973E-2</v>
      </c>
      <c r="S98" s="32">
        <f t="shared" si="15"/>
        <v>236.00000000008788</v>
      </c>
      <c r="U98" s="32">
        <f t="shared" si="10"/>
        <v>1</v>
      </c>
      <c r="X98" s="30" t="str" cm="1">
        <f t="array" ref="X98">IF($AP$21="INVERT",R98,IF(X97&gt;=$S$12,"",IF(R97="","",INDEX($R$18:$R$227,$U$17-ROWS($R$18:$R97)))))</f>
        <v/>
      </c>
      <c r="Y98" s="30" t="str">
        <f t="shared" si="11"/>
        <v/>
      </c>
      <c r="Z98" s="30" t="str">
        <f>IF(Z97="","",IF($AP$21="TYP",IF(S97="","",INDEX($S$18:$S$227,$U$17-ROWS($S$18:$S97))),IF($AP$21="INVERT",S98,"")))</f>
        <v/>
      </c>
      <c r="AA98" s="75" t="str">
        <f t="shared" si="12"/>
        <v/>
      </c>
      <c r="AB98" s="75"/>
      <c r="AC98" s="35"/>
      <c r="AD98" s="35"/>
      <c r="AE98" s="35"/>
      <c r="AF98" s="35"/>
      <c r="AG98" s="35"/>
      <c r="AH98" s="35"/>
      <c r="AI98" s="35"/>
      <c r="AJ98" s="35"/>
      <c r="AK98" s="35"/>
      <c r="AL98" s="35"/>
      <c r="AM98" s="35"/>
    </row>
    <row r="99" spans="1:39" x14ac:dyDescent="0.2">
      <c r="A99" s="32" t="str">
        <f t="shared" si="9"/>
        <v/>
      </c>
      <c r="C99" s="36" t="str">
        <f>IF(OR(C98&lt;30,C98=""),"",'Metric Calcs'!C95)</f>
        <v/>
      </c>
      <c r="D99" s="80" t="str">
        <f>IF(C99=0,"",'Metric Calcs'!D95)</f>
        <v/>
      </c>
      <c r="E99" s="80" t="str">
        <f>IF(OR(E97=1,E97=""),"",IF('Metric Data'!$B$2,'Metric Calcs'!E95,'Metric Calcs'!F95))</f>
        <v/>
      </c>
      <c r="F99" s="30" t="str">
        <f>IF(OR(F97=1,F97=""),"",IF('Metric Data'!$B$2,'Metric Calcs'!F95,'Metric Calcs'!H95))</f>
        <v/>
      </c>
      <c r="G99" s="30" t="str">
        <f>IF(OR(G97=1,G97=""),"",IF('Metric Data'!$B$2,'Metric Calcs'!G95,'Metric Calcs'!K95))</f>
        <v/>
      </c>
      <c r="H99" s="30" t="str">
        <f>IF(OR(H97=1,H97=""),"",IF('Metric Data'!$B$2,'Metric Calcs'!H95,'Metric Calcs'!N95))</f>
        <v/>
      </c>
      <c r="I99" s="30" t="str">
        <f>IF(OR(I97=1,I97=""),"",IF('Metric Data'!$B$2,'Metric Calcs'!K95,'Metric Calcs'!W95))</f>
        <v/>
      </c>
      <c r="J99" s="30" t="str">
        <f>IF('Metric Data'!$B$2,'Metric Calcs'!N95,"")</f>
        <v/>
      </c>
      <c r="K99" s="30" t="str">
        <f>IF('Metric Data'!$B$2,'Metric Calcs'!W95,"")</f>
        <v/>
      </c>
      <c r="L99" s="37" t="str">
        <f>IF('Metric Data'!$B$2,J99,H99)</f>
        <v/>
      </c>
      <c r="M99" s="112" t="str">
        <f>IF('Metric Data'!$B$2,K99,I99)</f>
        <v/>
      </c>
      <c r="O99" s="32" t="str">
        <f>IF(M100="",IF(M99="","",$F$9),M99)</f>
        <v/>
      </c>
      <c r="Q99" s="112">
        <f t="shared" si="14"/>
        <v>-2.6992297286199118E-15</v>
      </c>
      <c r="R99" s="32" t="str">
        <f t="shared" si="16"/>
        <v/>
      </c>
      <c r="S99" s="32" t="str">
        <f t="shared" si="15"/>
        <v/>
      </c>
      <c r="U99" s="32" t="str">
        <f t="shared" si="10"/>
        <v/>
      </c>
      <c r="X99" s="30" t="str" cm="1">
        <f t="array" ref="X99">IF($AP$21="INVERT",R99,IF(X98&gt;=$S$12,"",IF(R98="","",INDEX($R$18:$R$227,$U$17-ROWS($R$18:$R98)))))</f>
        <v/>
      </c>
      <c r="Y99" s="30" t="str">
        <f t="shared" si="11"/>
        <v/>
      </c>
      <c r="Z99" s="30" t="str">
        <f>IF(Z98="","",IF($AP$21="TYP",IF(S98="","",INDEX($S$18:$S$227,$U$17-ROWS($S$18:$S98))),IF($AP$21="INVERT",S99,"")))</f>
        <v/>
      </c>
      <c r="AA99" s="75" t="str">
        <f t="shared" si="12"/>
        <v/>
      </c>
      <c r="AB99" s="75"/>
      <c r="AC99" s="35"/>
      <c r="AD99" s="35"/>
      <c r="AE99" s="35"/>
      <c r="AF99" s="35"/>
      <c r="AG99" s="35"/>
      <c r="AH99" s="35"/>
      <c r="AI99" s="35"/>
      <c r="AJ99" s="35"/>
      <c r="AK99" s="35"/>
      <c r="AL99" s="35"/>
      <c r="AM99" s="35"/>
    </row>
    <row r="100" spans="1:39" x14ac:dyDescent="0.2">
      <c r="A100" s="32" t="str">
        <f t="shared" si="9"/>
        <v/>
      </c>
      <c r="C100" s="36" t="str">
        <f>IF(OR(C99&lt;30,C99=""),"",'Metric Calcs'!C96)</f>
        <v/>
      </c>
      <c r="D100" s="80" t="str">
        <f>IF(C100=0,"",'Metric Calcs'!D96)</f>
        <v/>
      </c>
      <c r="E100" s="80" t="str">
        <f>IF(OR(E98=1,E98=""),"",IF('Metric Data'!$B$2,'Metric Calcs'!E96,'Metric Calcs'!F96))</f>
        <v/>
      </c>
      <c r="F100" s="30" t="str">
        <f>IF(OR(F98=1,F98=""),"",IF('Metric Data'!$B$2,'Metric Calcs'!F96,'Metric Calcs'!H96))</f>
        <v/>
      </c>
      <c r="G100" s="30" t="str">
        <f>IF(OR(G98=1,G98=""),"",IF('Metric Data'!$B$2,'Metric Calcs'!G96,'Metric Calcs'!K96))</f>
        <v/>
      </c>
      <c r="H100" s="30" t="str">
        <f>IF(OR(H98=1,H98=""),"",IF('Metric Data'!$B$2,'Metric Calcs'!H96,'Metric Calcs'!N96))</f>
        <v/>
      </c>
      <c r="I100" s="30" t="str">
        <f>IF(OR(I98=1,I98=""),"",IF('Metric Data'!$B$2,'Metric Calcs'!K96,'Metric Calcs'!W96))</f>
        <v/>
      </c>
      <c r="J100" s="30" t="str">
        <f>IF('Metric Data'!$B$2,'Metric Calcs'!N96,"")</f>
        <v/>
      </c>
      <c r="K100" s="30" t="str">
        <f>IF('Metric Data'!$B$2,'Metric Calcs'!W96,"")</f>
        <v/>
      </c>
      <c r="L100" s="37" t="str">
        <f>IF('Metric Data'!$B$2,J100,H100)</f>
        <v/>
      </c>
      <c r="M100" s="112" t="str">
        <f>IF('Metric Data'!$B$2,K100,I100)</f>
        <v/>
      </c>
      <c r="O100" s="32" t="str">
        <f t="shared" ref="O100:O163" si="17">IF(M101="",IF(M100="","",$F$9),M100)</f>
        <v/>
      </c>
      <c r="Q100" s="112">
        <f t="shared" si="14"/>
        <v>-2.5400000000002698E-2</v>
      </c>
      <c r="R100" s="32" t="str">
        <f t="shared" si="16"/>
        <v/>
      </c>
      <c r="S100" s="32" t="str">
        <f t="shared" si="15"/>
        <v/>
      </c>
      <c r="U100" s="32" t="str">
        <f t="shared" si="10"/>
        <v/>
      </c>
      <c r="X100" s="30" t="str" cm="1">
        <f t="array" ref="X100">IF($AP$21="INVERT",R100,IF(X99&gt;=$S$12,"",IF(R99="","",INDEX($R$18:$R$227,$U$17-ROWS($R$18:$R99)))))</f>
        <v/>
      </c>
      <c r="Y100" s="30" t="str">
        <f t="shared" si="11"/>
        <v/>
      </c>
      <c r="Z100" s="30" t="str">
        <f>IF(Z99="","",IF($AP$21="TYP",IF(S99="","",INDEX($S$18:$S$227,$U$17-ROWS($S$18:$S99))),IF($AP$21="INVERT",S100,"")))</f>
        <v/>
      </c>
      <c r="AA100" s="75" t="str">
        <f t="shared" si="12"/>
        <v/>
      </c>
      <c r="AB100" s="75"/>
      <c r="AC100" s="35"/>
      <c r="AD100" s="35"/>
      <c r="AE100" s="35"/>
      <c r="AF100" s="35"/>
      <c r="AG100" s="35"/>
      <c r="AH100" s="35"/>
      <c r="AI100" s="35"/>
      <c r="AJ100" s="35"/>
      <c r="AK100" s="35"/>
      <c r="AL100" s="35"/>
      <c r="AM100" s="35"/>
    </row>
    <row r="101" spans="1:39" x14ac:dyDescent="0.2">
      <c r="A101" s="32" t="str">
        <f t="shared" si="9"/>
        <v/>
      </c>
      <c r="C101" s="36" t="str">
        <f>IF(OR(C100&lt;30,C100=""),"",'Metric Calcs'!C97)</f>
        <v/>
      </c>
      <c r="D101" s="80" t="str">
        <f>IF(C101=0,"",'Metric Calcs'!D97)</f>
        <v/>
      </c>
      <c r="E101" s="80" t="str">
        <f>IF(OR(E99=1,E99=""),"",IF('Metric Data'!$B$2,'Metric Calcs'!E97,'Metric Calcs'!F97))</f>
        <v/>
      </c>
      <c r="F101" s="30" t="str">
        <f>IF(OR(F99=1,F99=""),"",IF('Metric Data'!$B$2,'Metric Calcs'!F97,'Metric Calcs'!H97))</f>
        <v/>
      </c>
      <c r="G101" s="30" t="str">
        <f>IF(OR(G99=1,G99=""),"",IF('Metric Data'!$B$2,'Metric Calcs'!G97,'Metric Calcs'!K97))</f>
        <v/>
      </c>
      <c r="H101" s="30" t="str">
        <f>IF(OR(H99=1,H99=""),"",IF('Metric Data'!$B$2,'Metric Calcs'!H97,'Metric Calcs'!N97))</f>
        <v/>
      </c>
      <c r="I101" s="30" t="str">
        <f>IF(OR(I99=1,I99=""),"",IF('Metric Data'!$B$2,'Metric Calcs'!K97,'Metric Calcs'!W97))</f>
        <v/>
      </c>
      <c r="J101" s="30" t="str">
        <f>IF('Metric Data'!$B$2,'Metric Calcs'!N97,"")</f>
        <v/>
      </c>
      <c r="K101" s="30" t="str">
        <f>IF('Metric Data'!$B$2,'Metric Calcs'!W97,"")</f>
        <v/>
      </c>
      <c r="L101" s="37" t="str">
        <f>IF('Metric Data'!$B$2,J101,H101)</f>
        <v/>
      </c>
      <c r="M101" s="112" t="str">
        <f>IF('Metric Data'!$B$2,K101,I101)</f>
        <v/>
      </c>
      <c r="O101" s="32" t="str">
        <f t="shared" si="17"/>
        <v/>
      </c>
      <c r="Q101" s="112">
        <f t="shared" si="14"/>
        <v>-5.0800000000002697E-2</v>
      </c>
      <c r="R101" s="32" t="str">
        <f t="shared" si="16"/>
        <v/>
      </c>
      <c r="S101" s="32" t="str">
        <f t="shared" si="15"/>
        <v/>
      </c>
      <c r="U101" s="32" t="str">
        <f t="shared" si="10"/>
        <v/>
      </c>
      <c r="X101" s="30" t="str" cm="1">
        <f t="array" ref="X101">IF($AP$21="INVERT",R101,IF(X100&gt;=$S$12,"",IF(R100="","",INDEX($R$18:$R$227,$U$17-ROWS($R$18:$R100)))))</f>
        <v/>
      </c>
      <c r="Y101" s="30" t="str">
        <f t="shared" si="11"/>
        <v/>
      </c>
      <c r="Z101" s="30" t="str">
        <f>IF(Z100="","",IF($AP$21="TYP",IF(S100="","",INDEX($S$18:$S$227,$U$17-ROWS($S$18:$S100))),IF($AP$21="INVERT",S101,"")))</f>
        <v/>
      </c>
      <c r="AA101" s="75" t="str">
        <f t="shared" si="12"/>
        <v/>
      </c>
      <c r="AB101" s="75"/>
      <c r="AC101" s="35"/>
      <c r="AD101" s="35"/>
      <c r="AE101" s="35"/>
      <c r="AF101" s="35"/>
      <c r="AG101" s="35"/>
      <c r="AH101" s="35"/>
      <c r="AI101" s="35"/>
      <c r="AJ101" s="35"/>
      <c r="AK101" s="35"/>
      <c r="AL101" s="35"/>
      <c r="AM101" s="35"/>
    </row>
    <row r="102" spans="1:39" x14ac:dyDescent="0.2">
      <c r="A102" s="32" t="str">
        <f t="shared" si="9"/>
        <v/>
      </c>
      <c r="C102" s="36" t="str">
        <f>IF(OR(C101&lt;30,C101=""),"",'Metric Calcs'!C98)</f>
        <v/>
      </c>
      <c r="D102" s="80" t="str">
        <f>IF(C102=0,"",'Metric Calcs'!D98)</f>
        <v/>
      </c>
      <c r="E102" s="80" t="str">
        <f>IF(OR(E100=1,E100=""),"",IF('Metric Data'!$B$2,'Metric Calcs'!E98,'Metric Calcs'!F98))</f>
        <v/>
      </c>
      <c r="F102" s="30" t="str">
        <f>IF(OR(F100=1,F100=""),"",IF('Metric Data'!$B$2,'Metric Calcs'!F98,'Metric Calcs'!H98))</f>
        <v/>
      </c>
      <c r="G102" s="30" t="str">
        <f>IF(OR(G100=1,G100=""),"",IF('Metric Data'!$B$2,'Metric Calcs'!G98,'Metric Calcs'!K98))</f>
        <v/>
      </c>
      <c r="H102" s="30" t="str">
        <f>IF(OR(H100=1,H100=""),"",IF('Metric Data'!$B$2,'Metric Calcs'!H98,'Metric Calcs'!N98))</f>
        <v/>
      </c>
      <c r="I102" s="30" t="str">
        <f>IF(OR(I100=1,I100=""),"",IF('Metric Data'!$B$2,'Metric Calcs'!K98,'Metric Calcs'!W98))</f>
        <v/>
      </c>
      <c r="J102" s="30" t="str">
        <f>IF('Metric Data'!$B$2,'Metric Calcs'!N98,"")</f>
        <v/>
      </c>
      <c r="K102" s="30" t="str">
        <f>IF('Metric Data'!$B$2,'Metric Calcs'!W98,"")</f>
        <v/>
      </c>
      <c r="L102" s="37" t="str">
        <f>IF('Metric Data'!$B$2,J102,H102)</f>
        <v/>
      </c>
      <c r="M102" s="112" t="str">
        <f>IF('Metric Data'!$B$2,K102,I102)</f>
        <v/>
      </c>
      <c r="O102" s="32" t="str">
        <f t="shared" si="17"/>
        <v/>
      </c>
      <c r="Q102" s="112">
        <f t="shared" si="14"/>
        <v>-7.6200000000002696E-2</v>
      </c>
      <c r="R102" s="32" t="str">
        <f t="shared" si="16"/>
        <v/>
      </c>
      <c r="S102" s="32" t="str">
        <f t="shared" si="15"/>
        <v/>
      </c>
      <c r="U102" s="32" t="str">
        <f t="shared" si="10"/>
        <v/>
      </c>
      <c r="X102" s="30" t="str" cm="1">
        <f t="array" ref="X102">IF($AP$21="INVERT",R102,IF(X101&gt;=$S$12,"",IF(R101="","",INDEX($R$18:$R$227,$U$17-ROWS($R$18:$R101)))))</f>
        <v/>
      </c>
      <c r="Y102" s="30" t="str">
        <f t="shared" si="11"/>
        <v/>
      </c>
      <c r="Z102" s="30" t="str">
        <f>IF(Z101="","",IF($AP$21="TYP",IF(S101="","",INDEX($S$18:$S$227,$U$17-ROWS($S$18:$S101))),IF($AP$21="INVERT",S102,"")))</f>
        <v/>
      </c>
      <c r="AA102" s="75" t="str">
        <f t="shared" si="12"/>
        <v/>
      </c>
      <c r="AB102" s="75"/>
      <c r="AC102" s="35"/>
      <c r="AD102" s="35"/>
      <c r="AE102" s="35"/>
      <c r="AF102" s="35"/>
      <c r="AG102" s="35"/>
      <c r="AH102" s="35"/>
      <c r="AI102" s="35"/>
      <c r="AJ102" s="35"/>
      <c r="AK102" s="35"/>
      <c r="AL102" s="35"/>
      <c r="AM102" s="35"/>
    </row>
    <row r="103" spans="1:39" x14ac:dyDescent="0.2">
      <c r="A103" s="32" t="str">
        <f t="shared" si="9"/>
        <v/>
      </c>
      <c r="C103" s="36" t="str">
        <f>IF(OR(C102&lt;30,C102=""),"",'Metric Calcs'!C99)</f>
        <v/>
      </c>
      <c r="D103" s="80" t="str">
        <f>IF(C103=0,"",'Metric Calcs'!D99)</f>
        <v/>
      </c>
      <c r="E103" s="80" t="str">
        <f>IF(OR(E101=1,E101=""),"",IF('Metric Data'!$B$2,'Metric Calcs'!E99,'Metric Calcs'!F99))</f>
        <v/>
      </c>
      <c r="F103" s="30" t="str">
        <f>IF(OR(F101=1,F101=""),"",IF('Metric Data'!$B$2,'Metric Calcs'!F99,'Metric Calcs'!H99))</f>
        <v/>
      </c>
      <c r="G103" s="30" t="str">
        <f>IF(OR(G101=1,G101=""),"",IF('Metric Data'!$B$2,'Metric Calcs'!G99,'Metric Calcs'!K99))</f>
        <v/>
      </c>
      <c r="H103" s="30" t="str">
        <f>IF(OR(H101=1,H101=""),"",IF('Metric Data'!$B$2,'Metric Calcs'!H99,'Metric Calcs'!N99))</f>
        <v/>
      </c>
      <c r="I103" s="30" t="str">
        <f>IF(OR(I101=1,I101=""),"",IF('Metric Data'!$B$2,'Metric Calcs'!K99,'Metric Calcs'!W99))</f>
        <v/>
      </c>
      <c r="J103" s="30" t="str">
        <f>IF('Metric Data'!$B$2,'Metric Calcs'!N99,"")</f>
        <v/>
      </c>
      <c r="K103" s="30" t="str">
        <f>IF('Metric Data'!$B$2,'Metric Calcs'!W99,"")</f>
        <v/>
      </c>
      <c r="L103" s="37" t="str">
        <f>IF('Metric Data'!$B$2,J103,H103)</f>
        <v/>
      </c>
      <c r="M103" s="112" t="str">
        <f>IF('Metric Data'!$B$2,K103,I103)</f>
        <v/>
      </c>
      <c r="O103" s="32" t="str">
        <f t="shared" si="17"/>
        <v/>
      </c>
      <c r="Q103" s="112">
        <f t="shared" si="14"/>
        <v>-0.10160000000000269</v>
      </c>
      <c r="R103" s="32" t="str">
        <f t="shared" si="16"/>
        <v/>
      </c>
      <c r="S103" s="32" t="str">
        <f t="shared" si="15"/>
        <v/>
      </c>
      <c r="U103" s="32" t="str">
        <f t="shared" si="10"/>
        <v/>
      </c>
      <c r="X103" s="30" t="str" cm="1">
        <f t="array" ref="X103">IF($AP$21="INVERT",R103,IF(X102&gt;=$S$12,"",IF(R102="","",INDEX($R$18:$R$227,$U$17-ROWS($R$18:$R102)))))</f>
        <v/>
      </c>
      <c r="Y103" s="30" t="str">
        <f t="shared" si="11"/>
        <v/>
      </c>
      <c r="Z103" s="30" t="str">
        <f>IF(Z102="","",IF($AP$21="TYP",IF(S102="","",INDEX($S$18:$S$227,$U$17-ROWS($S$18:$S102))),IF($AP$21="INVERT",S103,"")))</f>
        <v/>
      </c>
      <c r="AA103" s="75" t="str">
        <f t="shared" si="12"/>
        <v/>
      </c>
      <c r="AB103" s="75"/>
      <c r="AC103" s="35"/>
      <c r="AD103" s="35"/>
      <c r="AE103" s="35"/>
      <c r="AF103" s="35"/>
      <c r="AG103" s="35"/>
      <c r="AH103" s="35"/>
      <c r="AI103" s="35"/>
      <c r="AJ103" s="35"/>
      <c r="AK103" s="35"/>
      <c r="AL103" s="35"/>
      <c r="AM103" s="35"/>
    </row>
    <row r="104" spans="1:39" x14ac:dyDescent="0.2">
      <c r="A104" s="32" t="str">
        <f t="shared" si="9"/>
        <v/>
      </c>
      <c r="C104" s="36" t="str">
        <f>IF(OR(C103&lt;30,C103=""),"",'Metric Calcs'!C100)</f>
        <v/>
      </c>
      <c r="D104" s="80" t="str">
        <f>IF(C104=0,"",'Metric Calcs'!D100)</f>
        <v/>
      </c>
      <c r="E104" s="80" t="str">
        <f>IF(OR(E102=1,E102=""),"",IF('Metric Data'!$B$2,'Metric Calcs'!E100,'Metric Calcs'!F100))</f>
        <v/>
      </c>
      <c r="F104" s="30" t="str">
        <f>IF(OR(F102=1,F102=""),"",IF('Metric Data'!$B$2,'Metric Calcs'!F100,'Metric Calcs'!H100))</f>
        <v/>
      </c>
      <c r="G104" s="30" t="str">
        <f>IF(OR(G102=1,G102=""),"",IF('Metric Data'!$B$2,'Metric Calcs'!G100,'Metric Calcs'!K100))</f>
        <v/>
      </c>
      <c r="H104" s="30" t="str">
        <f>IF(OR(H102=1,H102=""),"",IF('Metric Data'!$B$2,'Metric Calcs'!H100,'Metric Calcs'!N100))</f>
        <v/>
      </c>
      <c r="I104" s="30" t="str">
        <f>IF(OR(I102=1,I102=""),"",IF('Metric Data'!$B$2,'Metric Calcs'!K100,'Metric Calcs'!W100))</f>
        <v/>
      </c>
      <c r="J104" s="30" t="str">
        <f>IF('Metric Data'!$B$2,'Metric Calcs'!N100,"")</f>
        <v/>
      </c>
      <c r="K104" s="30" t="str">
        <f>IF('Metric Data'!$B$2,'Metric Calcs'!W100,"")</f>
        <v/>
      </c>
      <c r="L104" s="37" t="str">
        <f>IF('Metric Data'!$B$2,J104,H104)</f>
        <v/>
      </c>
      <c r="M104" s="112" t="str">
        <f>IF('Metric Data'!$B$2,K104,I104)</f>
        <v/>
      </c>
      <c r="O104" s="32" t="str">
        <f t="shared" si="17"/>
        <v/>
      </c>
      <c r="Q104" s="112">
        <f t="shared" si="14"/>
        <v>-0.12700000000000269</v>
      </c>
      <c r="R104" s="32" t="str">
        <f t="shared" si="16"/>
        <v/>
      </c>
      <c r="S104" s="32" t="str">
        <f t="shared" si="15"/>
        <v/>
      </c>
      <c r="U104" s="32" t="str">
        <f t="shared" si="10"/>
        <v/>
      </c>
      <c r="X104" s="30" t="str" cm="1">
        <f t="array" ref="X104">IF($AP$21="INVERT",R104,IF(X103&gt;=$S$12,"",IF(R103="","",INDEX($R$18:$R$227,$U$17-ROWS($R$18:$R103)))))</f>
        <v/>
      </c>
      <c r="Y104" s="30" t="str">
        <f t="shared" si="11"/>
        <v/>
      </c>
      <c r="Z104" s="30" t="str">
        <f>IF(Z103="","",IF($AP$21="TYP",IF(S103="","",INDEX($S$18:$S$227,$U$17-ROWS($S$18:$S103))),IF($AP$21="INVERT",S104,"")))</f>
        <v/>
      </c>
      <c r="AA104" s="75" t="str">
        <f t="shared" si="12"/>
        <v/>
      </c>
      <c r="AB104" s="75"/>
      <c r="AC104" s="35"/>
      <c r="AD104" s="35"/>
      <c r="AE104" s="35"/>
      <c r="AF104" s="35"/>
      <c r="AG104" s="35"/>
      <c r="AH104" s="35"/>
      <c r="AI104" s="35"/>
      <c r="AJ104" s="35"/>
      <c r="AK104" s="35"/>
      <c r="AL104" s="35"/>
      <c r="AM104" s="35"/>
    </row>
    <row r="105" spans="1:39" x14ac:dyDescent="0.2">
      <c r="A105" s="32" t="str">
        <f t="shared" si="9"/>
        <v/>
      </c>
      <c r="C105" s="36" t="str">
        <f>IF(OR(C104&lt;30,C104=""),"",'Metric Calcs'!C101)</f>
        <v/>
      </c>
      <c r="D105" s="80" t="str">
        <f>IF(C105=0,"",'Metric Calcs'!D101)</f>
        <v/>
      </c>
      <c r="E105" s="80" t="str">
        <f>IF(OR(E103=1,E103=""),"",IF('Metric Data'!$B$2,'Metric Calcs'!E101,'Metric Calcs'!F101))</f>
        <v/>
      </c>
      <c r="F105" s="30" t="str">
        <f>IF(OR(F103=1,F103=""),"",IF('Metric Data'!$B$2,'Metric Calcs'!F101,'Metric Calcs'!H101))</f>
        <v/>
      </c>
      <c r="G105" s="30" t="str">
        <f>IF(OR(G103=1,G103=""),"",IF('Metric Data'!$B$2,'Metric Calcs'!G101,'Metric Calcs'!K101))</f>
        <v/>
      </c>
      <c r="H105" s="30" t="str">
        <f>IF(OR(H103=1,H103=""),"",IF('Metric Data'!$B$2,'Metric Calcs'!H101,'Metric Calcs'!N101))</f>
        <v/>
      </c>
      <c r="I105" s="30" t="str">
        <f>IF(OR(I103=1,I103=""),"",IF('Metric Data'!$B$2,'Metric Calcs'!K101,'Metric Calcs'!W101))</f>
        <v/>
      </c>
      <c r="J105" s="30" t="str">
        <f>IF('Metric Data'!$B$2,'Metric Calcs'!N101,"")</f>
        <v/>
      </c>
      <c r="K105" s="30" t="str">
        <f>IF('Metric Data'!$B$2,'Metric Calcs'!W101,"")</f>
        <v/>
      </c>
      <c r="L105" s="37" t="str">
        <f>IF('Metric Data'!$B$2,J105,H105)</f>
        <v/>
      </c>
      <c r="M105" s="112" t="str">
        <f>IF('Metric Data'!$B$2,K105,I105)</f>
        <v/>
      </c>
      <c r="O105" s="32" t="str">
        <f t="shared" si="17"/>
        <v/>
      </c>
      <c r="Q105" s="112">
        <f t="shared" si="14"/>
        <v>-0.1524000000000027</v>
      </c>
      <c r="R105" s="32" t="str">
        <f t="shared" si="16"/>
        <v/>
      </c>
      <c r="S105" s="32" t="str">
        <f t="shared" si="15"/>
        <v/>
      </c>
      <c r="U105" s="32" t="str">
        <f t="shared" si="10"/>
        <v/>
      </c>
      <c r="X105" s="30" t="str" cm="1">
        <f t="array" ref="X105">IF($AP$21="INVERT",R105,IF(X104&gt;=$S$12,"",IF(R104="","",INDEX($R$18:$R$227,$U$17-ROWS($R$18:$R104)))))</f>
        <v/>
      </c>
      <c r="Y105" s="30" t="str">
        <f t="shared" si="11"/>
        <v/>
      </c>
      <c r="Z105" s="30" t="str">
        <f>IF(Z104="","",IF($AP$21="TYP",IF(S104="","",INDEX($S$18:$S$227,$U$17-ROWS($S$18:$S104))),IF($AP$21="INVERT",S105,"")))</f>
        <v/>
      </c>
      <c r="AA105" s="75" t="str">
        <f t="shared" si="12"/>
        <v/>
      </c>
      <c r="AB105" s="75"/>
      <c r="AC105" s="35"/>
      <c r="AD105" s="35"/>
      <c r="AE105" s="35"/>
      <c r="AF105" s="35"/>
      <c r="AG105" s="35"/>
      <c r="AH105" s="35"/>
      <c r="AI105" s="35"/>
      <c r="AJ105" s="35"/>
      <c r="AK105" s="35"/>
      <c r="AL105" s="35"/>
      <c r="AM105" s="35"/>
    </row>
    <row r="106" spans="1:39" x14ac:dyDescent="0.2">
      <c r="A106" s="32" t="str">
        <f t="shared" si="9"/>
        <v/>
      </c>
      <c r="C106" s="36" t="str">
        <f>IF(OR(C105&lt;30,C105=""),"",'Metric Calcs'!C102)</f>
        <v/>
      </c>
      <c r="D106" s="80" t="str">
        <f>IF(C106=0,"",'Metric Calcs'!D102)</f>
        <v/>
      </c>
      <c r="E106" s="80" t="str">
        <f>IF(OR(E104=1,E104=""),"",IF('Metric Data'!$B$2,'Metric Calcs'!E102,'Metric Calcs'!F102))</f>
        <v/>
      </c>
      <c r="F106" s="30" t="str">
        <f>IF(OR(F104=1,F104=""),"",IF('Metric Data'!$B$2,'Metric Calcs'!F102,'Metric Calcs'!H102))</f>
        <v/>
      </c>
      <c r="G106" s="30" t="str">
        <f>IF(OR(G104=1,G104=""),"",IF('Metric Data'!$B$2,'Metric Calcs'!G102,'Metric Calcs'!K102))</f>
        <v/>
      </c>
      <c r="H106" s="30" t="str">
        <f>IF(OR(H104=1,H104=""),"",IF('Metric Data'!$B$2,'Metric Calcs'!H102,'Metric Calcs'!N102))</f>
        <v/>
      </c>
      <c r="I106" s="30" t="str">
        <f>IF(OR(I104=1,I104=""),"",IF('Metric Data'!$B$2,'Metric Calcs'!K102,'Metric Calcs'!W102))</f>
        <v/>
      </c>
      <c r="J106" s="30" t="str">
        <f>IF('Metric Data'!$B$2,'Metric Calcs'!N102,"")</f>
        <v/>
      </c>
      <c r="K106" s="30" t="str">
        <f>IF('Metric Data'!$B$2,'Metric Calcs'!W102,"")</f>
        <v/>
      </c>
      <c r="L106" s="37" t="str">
        <f>IF('Metric Data'!$B$2,J106,H106)</f>
        <v/>
      </c>
      <c r="M106" s="112" t="str">
        <f>IF('Metric Data'!$B$2,K106,I106)</f>
        <v/>
      </c>
      <c r="O106" s="32" t="str">
        <f t="shared" si="17"/>
        <v/>
      </c>
      <c r="Q106" s="112">
        <f t="shared" si="14"/>
        <v>-0.17780000000000271</v>
      </c>
      <c r="R106" s="32" t="str">
        <f t="shared" si="16"/>
        <v/>
      </c>
      <c r="S106" s="32" t="str">
        <f t="shared" si="15"/>
        <v/>
      </c>
      <c r="U106" s="32" t="str">
        <f t="shared" si="10"/>
        <v/>
      </c>
      <c r="X106" s="30" t="str" cm="1">
        <f t="array" ref="X106">IF($AP$21="INVERT",R106,IF(X105&gt;=$S$12,"",IF(R105="","",INDEX($R$18:$R$227,$U$17-ROWS($R$18:$R105)))))</f>
        <v/>
      </c>
      <c r="Y106" s="30" t="str">
        <f t="shared" si="11"/>
        <v/>
      </c>
      <c r="Z106" s="30" t="str">
        <f>IF(Z105="","",IF($AP$21="TYP",IF(S105="","",INDEX($S$18:$S$227,$U$17-ROWS($S$18:$S105))),IF($AP$21="INVERT",S106,"")))</f>
        <v/>
      </c>
      <c r="AA106" s="75" t="str">
        <f t="shared" si="12"/>
        <v/>
      </c>
      <c r="AB106" s="75"/>
      <c r="AC106" s="35"/>
      <c r="AD106" s="35"/>
      <c r="AE106" s="35"/>
      <c r="AF106" s="35"/>
      <c r="AG106" s="35"/>
      <c r="AH106" s="35"/>
      <c r="AI106" s="35"/>
      <c r="AJ106" s="35"/>
      <c r="AK106" s="35"/>
      <c r="AL106" s="35"/>
      <c r="AM106" s="35"/>
    </row>
    <row r="107" spans="1:39" x14ac:dyDescent="0.2">
      <c r="A107" s="32" t="str">
        <f t="shared" si="9"/>
        <v/>
      </c>
      <c r="C107" s="36" t="str">
        <f>IF(OR(C106&lt;30,C106=""),"",'Metric Calcs'!C103)</f>
        <v/>
      </c>
      <c r="D107" s="80" t="str">
        <f>IF(C107=0,"",'Metric Calcs'!D103)</f>
        <v/>
      </c>
      <c r="E107" s="80" t="str">
        <f>IF(OR(E105=1,E105=""),"",IF('Metric Data'!$B$2,'Metric Calcs'!E103,'Metric Calcs'!F103))</f>
        <v/>
      </c>
      <c r="F107" s="30" t="str">
        <f>IF(OR(F105=1,F105=""),"",IF('Metric Data'!$B$2,'Metric Calcs'!F103,'Metric Calcs'!H103))</f>
        <v/>
      </c>
      <c r="G107" s="30" t="str">
        <f>IF(OR(G105=1,G105=""),"",IF('Metric Data'!$B$2,'Metric Calcs'!G103,'Metric Calcs'!K103))</f>
        <v/>
      </c>
      <c r="H107" s="30" t="str">
        <f>IF(OR(H105=1,H105=""),"",IF('Metric Data'!$B$2,'Metric Calcs'!H103,'Metric Calcs'!N103))</f>
        <v/>
      </c>
      <c r="I107" s="30" t="str">
        <f>IF(OR(I105=1,I105=""),"",IF('Metric Data'!$B$2,'Metric Calcs'!K103,'Metric Calcs'!W103))</f>
        <v/>
      </c>
      <c r="J107" s="30" t="str">
        <f>IF('Metric Data'!$B$2,'Metric Calcs'!N103,"")</f>
        <v/>
      </c>
      <c r="K107" s="30" t="str">
        <f>IF('Metric Data'!$B$2,'Metric Calcs'!W103,"")</f>
        <v/>
      </c>
      <c r="L107" s="37" t="str">
        <f>IF('Metric Data'!$B$2,J107,H107)</f>
        <v/>
      </c>
      <c r="M107" s="112" t="str">
        <f>IF('Metric Data'!$B$2,K107,I107)</f>
        <v/>
      </c>
      <c r="O107" s="32" t="str">
        <f t="shared" si="17"/>
        <v/>
      </c>
      <c r="Q107" s="112">
        <f t="shared" si="14"/>
        <v>-0.20320000000000271</v>
      </c>
      <c r="R107" s="32" t="str">
        <f t="shared" si="16"/>
        <v/>
      </c>
      <c r="S107" s="32" t="str">
        <f t="shared" si="15"/>
        <v/>
      </c>
      <c r="U107" s="32" t="str">
        <f t="shared" si="10"/>
        <v/>
      </c>
      <c r="X107" s="30" t="str" cm="1">
        <f t="array" ref="X107">IF($AP$21="INVERT",R107,IF(X106&gt;=$S$12,"",IF(R106="","",INDEX($R$18:$R$227,$U$17-ROWS($R$18:$R106)))))</f>
        <v/>
      </c>
      <c r="Y107" s="30" t="str">
        <f t="shared" si="11"/>
        <v/>
      </c>
      <c r="Z107" s="30" t="str">
        <f>IF(Z106="","",IF($AP$21="TYP",IF(S106="","",INDEX($S$18:$S$227,$U$17-ROWS($S$18:$S106))),IF($AP$21="INVERT",S107,"")))</f>
        <v/>
      </c>
      <c r="AA107" s="75" t="str">
        <f t="shared" si="12"/>
        <v/>
      </c>
      <c r="AB107" s="75"/>
      <c r="AC107" s="35"/>
      <c r="AD107" s="35"/>
      <c r="AE107" s="35"/>
      <c r="AF107" s="35"/>
      <c r="AG107" s="35"/>
      <c r="AH107" s="35"/>
      <c r="AI107" s="35"/>
      <c r="AJ107" s="35"/>
      <c r="AK107" s="35"/>
      <c r="AL107" s="35"/>
      <c r="AM107" s="35"/>
    </row>
    <row r="108" spans="1:39" x14ac:dyDescent="0.2">
      <c r="A108" s="32" t="str">
        <f t="shared" si="9"/>
        <v/>
      </c>
      <c r="C108" s="36" t="str">
        <f>IF(OR(C107&lt;30,C107=""),"",'Metric Calcs'!C104)</f>
        <v/>
      </c>
      <c r="D108" s="80" t="str">
        <f>IF(C108=0,"",'Metric Calcs'!D104)</f>
        <v/>
      </c>
      <c r="E108" s="80" t="str">
        <f>IF(OR(E106=1,E106=""),"",IF('Metric Data'!$B$2,'Metric Calcs'!E104,'Metric Calcs'!F104))</f>
        <v/>
      </c>
      <c r="F108" s="30" t="str">
        <f>IF(OR(F106=1,F106=""),"",IF('Metric Data'!$B$2,'Metric Calcs'!F104,'Metric Calcs'!H104))</f>
        <v/>
      </c>
      <c r="G108" s="30" t="str">
        <f>IF(OR(G106=1,G106=""),"",IF('Metric Data'!$B$2,'Metric Calcs'!G104,'Metric Calcs'!K104))</f>
        <v/>
      </c>
      <c r="H108" s="30" t="str">
        <f>IF(OR(H106=1,H106=""),"",IF('Metric Data'!$B$2,'Metric Calcs'!H104,'Metric Calcs'!N104))</f>
        <v/>
      </c>
      <c r="I108" s="30" t="str">
        <f>IF(OR(I106=1,I106=""),"",IF('Metric Data'!$B$2,'Metric Calcs'!K104,'Metric Calcs'!W104))</f>
        <v/>
      </c>
      <c r="J108" s="30" t="str">
        <f>IF('Metric Data'!$B$2,'Metric Calcs'!N104,"")</f>
        <v/>
      </c>
      <c r="K108" s="30" t="str">
        <f>IF('Metric Data'!$B$2,'Metric Calcs'!W104,"")</f>
        <v/>
      </c>
      <c r="L108" s="37" t="str">
        <f>IF('Metric Data'!$B$2,J108,H108)</f>
        <v/>
      </c>
      <c r="M108" s="112" t="str">
        <f>IF('Metric Data'!$B$2,K108,I108)</f>
        <v/>
      </c>
      <c r="O108" s="32" t="str">
        <f t="shared" si="17"/>
        <v/>
      </c>
      <c r="Q108" s="112">
        <f t="shared" si="14"/>
        <v>-0.22860000000000272</v>
      </c>
      <c r="R108" s="32" t="str">
        <f t="shared" si="16"/>
        <v/>
      </c>
      <c r="S108" s="32" t="str">
        <f t="shared" si="15"/>
        <v/>
      </c>
      <c r="U108" s="32" t="str">
        <f t="shared" si="10"/>
        <v/>
      </c>
      <c r="X108" s="30" t="str" cm="1">
        <f t="array" ref="X108">IF($AP$21="INVERT",R108,IF(X107&gt;=$S$12,"",IF(R107="","",INDEX($R$18:$R$227,$U$17-ROWS($R$18:$R107)))))</f>
        <v/>
      </c>
      <c r="Y108" s="30" t="str">
        <f t="shared" si="11"/>
        <v/>
      </c>
      <c r="Z108" s="30" t="str">
        <f>IF(Z107="","",IF($AP$21="TYP",IF(S107="","",INDEX($S$18:$S$227,$U$17-ROWS($S$18:$S107))),IF($AP$21="INVERT",S108,"")))</f>
        <v/>
      </c>
      <c r="AA108" s="75" t="str">
        <f t="shared" si="12"/>
        <v/>
      </c>
      <c r="AB108" s="75"/>
      <c r="AC108" s="35"/>
      <c r="AD108" s="35"/>
      <c r="AE108" s="35"/>
      <c r="AF108" s="35"/>
      <c r="AG108" s="35"/>
      <c r="AH108" s="35"/>
      <c r="AI108" s="35"/>
      <c r="AJ108" s="35"/>
      <c r="AK108" s="35"/>
      <c r="AL108" s="35"/>
      <c r="AM108" s="35"/>
    </row>
    <row r="109" spans="1:39" x14ac:dyDescent="0.2">
      <c r="A109" s="32" t="str">
        <f t="shared" si="9"/>
        <v/>
      </c>
      <c r="C109" s="36" t="str">
        <f>IF(OR(C108&lt;30,C108=""),"",'Metric Calcs'!C105)</f>
        <v/>
      </c>
      <c r="D109" s="80" t="str">
        <f>IF(C109=0,"",'Metric Calcs'!D105)</f>
        <v/>
      </c>
      <c r="E109" s="80" t="str">
        <f>IF(OR(E107=1,E107=""),"",IF('Metric Data'!$B$2,'Metric Calcs'!E105,'Metric Calcs'!F105))</f>
        <v/>
      </c>
      <c r="F109" s="30" t="str">
        <f>IF(OR(F107=1,F107=""),"",IF('Metric Data'!$B$2,'Metric Calcs'!F105,'Metric Calcs'!H105))</f>
        <v/>
      </c>
      <c r="G109" s="30" t="str">
        <f>IF(OR(G107=1,G107=""),"",IF('Metric Data'!$B$2,'Metric Calcs'!G105,'Metric Calcs'!K105))</f>
        <v/>
      </c>
      <c r="H109" s="30" t="str">
        <f>IF(OR(H107=1,H107=""),"",IF('Metric Data'!$B$2,'Metric Calcs'!H105,'Metric Calcs'!N105))</f>
        <v/>
      </c>
      <c r="I109" s="30" t="str">
        <f>IF(OR(I107=1,I107=""),"",IF('Metric Data'!$B$2,'Metric Calcs'!K105,'Metric Calcs'!W105))</f>
        <v/>
      </c>
      <c r="J109" s="30" t="str">
        <f>IF('Metric Data'!$B$2,'Metric Calcs'!N105,"")</f>
        <v/>
      </c>
      <c r="K109" s="30" t="str">
        <f>IF('Metric Data'!$B$2,'Metric Calcs'!W105,"")</f>
        <v/>
      </c>
      <c r="L109" s="37" t="str">
        <f>IF('Metric Data'!$B$2,J109,H109)</f>
        <v/>
      </c>
      <c r="M109" s="112" t="str">
        <f>IF('Metric Data'!$B$2,K109,I109)</f>
        <v/>
      </c>
      <c r="O109" s="32" t="str">
        <f t="shared" si="17"/>
        <v/>
      </c>
      <c r="Q109" s="112">
        <f t="shared" si="14"/>
        <v>-0.25400000000000272</v>
      </c>
      <c r="R109" s="32" t="str">
        <f t="shared" si="16"/>
        <v/>
      </c>
      <c r="S109" s="32" t="str">
        <f t="shared" si="15"/>
        <v/>
      </c>
      <c r="U109" s="32" t="str">
        <f t="shared" si="10"/>
        <v/>
      </c>
      <c r="X109" s="30" t="str" cm="1">
        <f t="array" ref="X109">IF($AP$21="INVERT",R109,IF(X108&gt;=$S$12,"",IF(R108="","",INDEX($R$18:$R$227,$U$17-ROWS($R$18:$R108)))))</f>
        <v/>
      </c>
      <c r="Y109" s="30" t="str">
        <f t="shared" si="11"/>
        <v/>
      </c>
      <c r="Z109" s="30" t="str">
        <f>IF(Z108="","",IF($AP$21="TYP",IF(S108="","",INDEX($S$18:$S$227,$U$17-ROWS($S$18:$S108))),IF($AP$21="INVERT",S109,"")))</f>
        <v/>
      </c>
      <c r="AA109" s="75" t="str">
        <f t="shared" si="12"/>
        <v/>
      </c>
      <c r="AB109" s="75"/>
      <c r="AC109" s="35"/>
      <c r="AD109" s="35"/>
      <c r="AE109" s="35"/>
      <c r="AF109" s="35"/>
      <c r="AG109" s="35"/>
      <c r="AH109" s="35"/>
      <c r="AI109" s="35"/>
      <c r="AJ109" s="35"/>
      <c r="AK109" s="35"/>
      <c r="AL109" s="35"/>
      <c r="AM109" s="35"/>
    </row>
    <row r="110" spans="1:39" x14ac:dyDescent="0.2">
      <c r="A110" s="32" t="str">
        <f t="shared" si="9"/>
        <v/>
      </c>
      <c r="C110" s="36" t="str">
        <f>IF(OR(C109&lt;30,C109=""),"",'Metric Calcs'!C106)</f>
        <v/>
      </c>
      <c r="D110" s="80" t="str">
        <f>IF(C110=0,"",'Metric Calcs'!D106)</f>
        <v/>
      </c>
      <c r="E110" s="80" t="str">
        <f>IF(OR(E108=1,E108=""),"",IF('Metric Data'!$B$2,'Metric Calcs'!E106,'Metric Calcs'!F106))</f>
        <v/>
      </c>
      <c r="F110" s="30" t="str">
        <f>IF(OR(F108=1,F108=""),"",IF('Metric Data'!$B$2,'Metric Calcs'!F106,'Metric Calcs'!H106))</f>
        <v/>
      </c>
      <c r="G110" s="30" t="str">
        <f>IF(OR(G108=1,G108=""),"",IF('Metric Data'!$B$2,'Metric Calcs'!G106,'Metric Calcs'!K106))</f>
        <v/>
      </c>
      <c r="H110" s="30" t="str">
        <f>IF(OR(H108=1,H108=""),"",IF('Metric Data'!$B$2,'Metric Calcs'!H106,'Metric Calcs'!N106))</f>
        <v/>
      </c>
      <c r="I110" s="30" t="str">
        <f>IF(OR(I108=1,I108=""),"",IF('Metric Data'!$B$2,'Metric Calcs'!K106,'Metric Calcs'!W106))</f>
        <v/>
      </c>
      <c r="J110" s="30" t="str">
        <f>IF('Metric Data'!$B$2,'Metric Calcs'!N106,"")</f>
        <v/>
      </c>
      <c r="K110" s="30" t="str">
        <f>IF('Metric Data'!$B$2,'Metric Calcs'!W106,"")</f>
        <v/>
      </c>
      <c r="L110" s="37" t="str">
        <f>IF('Metric Data'!$B$2,J110,H110)</f>
        <v/>
      </c>
      <c r="M110" s="112" t="str">
        <f>IF('Metric Data'!$B$2,K110,I110)</f>
        <v/>
      </c>
      <c r="O110" s="32" t="str">
        <f t="shared" si="17"/>
        <v/>
      </c>
      <c r="Q110" s="112">
        <f t="shared" si="14"/>
        <v>-0.2794000000000027</v>
      </c>
      <c r="R110" s="32" t="str">
        <f t="shared" si="16"/>
        <v/>
      </c>
      <c r="S110" s="32" t="str">
        <f t="shared" si="15"/>
        <v/>
      </c>
      <c r="U110" s="32" t="str">
        <f t="shared" si="10"/>
        <v/>
      </c>
      <c r="X110" s="30" t="str" cm="1">
        <f t="array" ref="X110">IF($AP$21="INVERT",R110,IF(X109&gt;=$S$12,"",IF(R109="","",INDEX($R$18:$R$227,$U$17-ROWS($R$18:$R109)))))</f>
        <v/>
      </c>
      <c r="Y110" s="30" t="str">
        <f t="shared" si="11"/>
        <v/>
      </c>
      <c r="Z110" s="30" t="str">
        <f>IF(Z109="","",IF($AP$21="TYP",IF(S109="","",INDEX($S$18:$S$227,$U$17-ROWS($S$18:$S109))),IF($AP$21="INVERT",S110,"")))</f>
        <v/>
      </c>
      <c r="AA110" s="75" t="str">
        <f t="shared" si="12"/>
        <v/>
      </c>
      <c r="AB110" s="75"/>
      <c r="AC110" s="35"/>
      <c r="AD110" s="35"/>
      <c r="AE110" s="35"/>
      <c r="AF110" s="35"/>
      <c r="AG110" s="35"/>
      <c r="AH110" s="35"/>
      <c r="AI110" s="35"/>
      <c r="AJ110" s="35"/>
      <c r="AK110" s="35"/>
      <c r="AL110" s="35"/>
      <c r="AM110" s="35"/>
    </row>
    <row r="111" spans="1:39" x14ac:dyDescent="0.2">
      <c r="A111" s="32" t="str">
        <f t="shared" si="9"/>
        <v/>
      </c>
      <c r="C111" s="36" t="str">
        <f>IF(OR(C110&lt;30,C110=""),"",'Metric Calcs'!C107)</f>
        <v/>
      </c>
      <c r="D111" s="80" t="str">
        <f>IF(C111=0,"",'Metric Calcs'!D107)</f>
        <v/>
      </c>
      <c r="E111" s="80" t="str">
        <f>IF(OR(E109=1,E109=""),"",IF('Metric Data'!$B$2,'Metric Calcs'!E107,'Metric Calcs'!F107))</f>
        <v/>
      </c>
      <c r="F111" s="30" t="str">
        <f>IF(OR(F109=1,F109=""),"",IF('Metric Data'!$B$2,'Metric Calcs'!F107,'Metric Calcs'!H107))</f>
        <v/>
      </c>
      <c r="G111" s="30" t="str">
        <f>IF(OR(G109=1,G109=""),"",IF('Metric Data'!$B$2,'Metric Calcs'!G107,'Metric Calcs'!K107))</f>
        <v/>
      </c>
      <c r="H111" s="30" t="str">
        <f>IF(OR(H109=1,H109=""),"",IF('Metric Data'!$B$2,'Metric Calcs'!H107,'Metric Calcs'!N107))</f>
        <v/>
      </c>
      <c r="I111" s="30" t="str">
        <f>IF(OR(I109=1,I109=""),"",IF('Metric Data'!$B$2,'Metric Calcs'!K107,'Metric Calcs'!W107))</f>
        <v/>
      </c>
      <c r="J111" s="30" t="str">
        <f>IF('Metric Data'!$B$2,'Metric Calcs'!N107,"")</f>
        <v/>
      </c>
      <c r="K111" s="30" t="str">
        <f>IF('Metric Data'!$B$2,'Metric Calcs'!W107,"")</f>
        <v/>
      </c>
      <c r="L111" s="37" t="str">
        <f>IF('Metric Data'!$B$2,J111,H111)</f>
        <v/>
      </c>
      <c r="M111" s="112" t="str">
        <f>IF('Metric Data'!$B$2,K111,I111)</f>
        <v/>
      </c>
      <c r="O111" s="32" t="str">
        <f t="shared" si="17"/>
        <v/>
      </c>
      <c r="Q111" s="112">
        <f t="shared" si="14"/>
        <v>-0.30480000000000268</v>
      </c>
      <c r="R111" s="32" t="str">
        <f t="shared" si="16"/>
        <v/>
      </c>
      <c r="S111" s="32" t="str">
        <f t="shared" si="15"/>
        <v/>
      </c>
      <c r="U111" s="32" t="str">
        <f t="shared" si="10"/>
        <v/>
      </c>
      <c r="X111" s="30" t="str" cm="1">
        <f t="array" ref="X111">IF($AP$21="INVERT",R111,IF(X110&gt;=$S$12,"",IF(R110="","",INDEX($R$18:$R$227,$U$17-ROWS($R$18:$R110)))))</f>
        <v/>
      </c>
      <c r="Y111" s="30" t="str">
        <f t="shared" si="11"/>
        <v/>
      </c>
      <c r="Z111" s="30" t="str">
        <f>IF(Z110="","",IF($AP$21="TYP",IF(S110="","",INDEX($S$18:$S$227,$U$17-ROWS($S$18:$S110))),IF($AP$21="INVERT",S111,"")))</f>
        <v/>
      </c>
      <c r="AA111" s="75" t="str">
        <f t="shared" si="12"/>
        <v/>
      </c>
      <c r="AB111" s="75"/>
      <c r="AC111" s="35"/>
      <c r="AD111" s="35"/>
      <c r="AE111" s="35"/>
      <c r="AF111" s="35"/>
      <c r="AG111" s="35"/>
      <c r="AH111" s="35"/>
      <c r="AI111" s="35"/>
      <c r="AJ111" s="35"/>
      <c r="AK111" s="35"/>
      <c r="AL111" s="35"/>
      <c r="AM111" s="35"/>
    </row>
    <row r="112" spans="1:39" x14ac:dyDescent="0.2">
      <c r="A112" s="32" t="str">
        <f t="shared" si="9"/>
        <v/>
      </c>
      <c r="C112" s="36" t="str">
        <f>IF(OR(C111&lt;30,C111=""),"",'Metric Calcs'!C108)</f>
        <v/>
      </c>
      <c r="D112" s="80" t="str">
        <f>IF(C112=0,"",'Metric Calcs'!D108)</f>
        <v/>
      </c>
      <c r="E112" s="80" t="str">
        <f>IF(OR(E110=1,E110=""),"",IF('Metric Data'!$B$2,'Metric Calcs'!E108,'Metric Calcs'!F108))</f>
        <v/>
      </c>
      <c r="F112" s="30" t="str">
        <f>IF(OR(F110=1,F110=""),"",IF('Metric Data'!$B$2,'Metric Calcs'!F108,'Metric Calcs'!H108))</f>
        <v/>
      </c>
      <c r="G112" s="30" t="str">
        <f>IF(OR(G110=1,G110=""),"",IF('Metric Data'!$B$2,'Metric Calcs'!G108,'Metric Calcs'!K108))</f>
        <v/>
      </c>
      <c r="H112" s="30" t="str">
        <f>IF(OR(H110=1,H110=""),"",IF('Metric Data'!$B$2,'Metric Calcs'!H108,'Metric Calcs'!N108))</f>
        <v/>
      </c>
      <c r="I112" s="30" t="str">
        <f>IF(OR(I110=1,I110=""),"",IF('Metric Data'!$B$2,'Metric Calcs'!K108,'Metric Calcs'!W108))</f>
        <v/>
      </c>
      <c r="J112" s="30" t="str">
        <f>IF('Metric Data'!$B$2,'Metric Calcs'!N108,"")</f>
        <v/>
      </c>
      <c r="K112" s="30" t="str">
        <f>IF('Metric Data'!$B$2,'Metric Calcs'!W108,"")</f>
        <v/>
      </c>
      <c r="L112" s="37" t="str">
        <f>IF('Metric Data'!$B$2,J112,H112)</f>
        <v/>
      </c>
      <c r="M112" s="112" t="str">
        <f>IF('Metric Data'!$B$2,K112,I112)</f>
        <v/>
      </c>
      <c r="O112" s="32" t="str">
        <f t="shared" si="17"/>
        <v/>
      </c>
      <c r="Q112" s="112">
        <f t="shared" si="14"/>
        <v>-0.33020000000000266</v>
      </c>
      <c r="R112" s="32" t="str">
        <f t="shared" si="16"/>
        <v/>
      </c>
      <c r="S112" s="32" t="str">
        <f t="shared" si="15"/>
        <v/>
      </c>
      <c r="U112" s="32" t="str">
        <f t="shared" si="10"/>
        <v/>
      </c>
      <c r="X112" s="30" t="str" cm="1">
        <f t="array" ref="X112">IF($AP$21="INVERT",R112,IF(X111&gt;=$S$12,"",IF(R111="","",INDEX($R$18:$R$227,$U$17-ROWS($R$18:$R111)))))</f>
        <v/>
      </c>
      <c r="Y112" s="30" t="str">
        <f t="shared" si="11"/>
        <v/>
      </c>
      <c r="Z112" s="30" t="str">
        <f>IF(Z111="","",IF($AP$21="TYP",IF(S111="","",INDEX($S$18:$S$227,$U$17-ROWS($S$18:$S111))),IF($AP$21="INVERT",S112,"")))</f>
        <v/>
      </c>
      <c r="AA112" s="75" t="str">
        <f t="shared" si="12"/>
        <v/>
      </c>
      <c r="AB112" s="75"/>
      <c r="AC112" s="35"/>
      <c r="AD112" s="35"/>
      <c r="AE112" s="35"/>
      <c r="AF112" s="35"/>
      <c r="AG112" s="35"/>
      <c r="AH112" s="35"/>
      <c r="AI112" s="35"/>
      <c r="AJ112" s="35"/>
      <c r="AK112" s="35"/>
      <c r="AL112" s="35"/>
      <c r="AM112" s="35"/>
    </row>
    <row r="113" spans="1:39" x14ac:dyDescent="0.2">
      <c r="A113" s="32" t="str">
        <f t="shared" si="9"/>
        <v/>
      </c>
      <c r="C113" s="36" t="str">
        <f>IF(OR(C112&lt;30,C112=""),"",'Metric Calcs'!C109)</f>
        <v/>
      </c>
      <c r="D113" s="80" t="str">
        <f>IF(C113=0,"",'Metric Calcs'!D109)</f>
        <v/>
      </c>
      <c r="E113" s="80" t="str">
        <f>IF(OR(E111=1,E111=""),"",IF('Metric Data'!$B$2,'Metric Calcs'!E109,'Metric Calcs'!F109))</f>
        <v/>
      </c>
      <c r="F113" s="30" t="str">
        <f>IF(OR(F111=1,F111=""),"",IF('Metric Data'!$B$2,'Metric Calcs'!F109,'Metric Calcs'!H109))</f>
        <v/>
      </c>
      <c r="G113" s="30" t="str">
        <f>IF(OR(G111=1,G111=""),"",IF('Metric Data'!$B$2,'Metric Calcs'!G109,'Metric Calcs'!K109))</f>
        <v/>
      </c>
      <c r="H113" s="30" t="str">
        <f>IF(OR(H111=1,H111=""),"",IF('Metric Data'!$B$2,'Metric Calcs'!H109,'Metric Calcs'!N109))</f>
        <v/>
      </c>
      <c r="I113" s="30" t="str">
        <f>IF(OR(I111=1,I111=""),"",IF('Metric Data'!$B$2,'Metric Calcs'!K109,'Metric Calcs'!W109))</f>
        <v/>
      </c>
      <c r="J113" s="30" t="str">
        <f>IF('Metric Data'!$B$2,'Metric Calcs'!N109,"")</f>
        <v/>
      </c>
      <c r="K113" s="30" t="str">
        <f>IF('Metric Data'!$B$2,'Metric Calcs'!W109,"")</f>
        <v/>
      </c>
      <c r="L113" s="37" t="str">
        <f>IF('Metric Data'!$B$2,J113,H113)</f>
        <v/>
      </c>
      <c r="M113" s="112" t="str">
        <f>IF('Metric Data'!$B$2,K113,I113)</f>
        <v/>
      </c>
      <c r="O113" s="32" t="str">
        <f t="shared" si="17"/>
        <v/>
      </c>
      <c r="Q113" s="112">
        <f t="shared" si="14"/>
        <v>-0.35560000000000264</v>
      </c>
      <c r="R113" s="32" t="str">
        <f t="shared" si="16"/>
        <v/>
      </c>
      <c r="S113" s="32" t="str">
        <f t="shared" si="15"/>
        <v/>
      </c>
      <c r="U113" s="32" t="str">
        <f t="shared" si="10"/>
        <v/>
      </c>
      <c r="X113" s="30" t="str" cm="1">
        <f t="array" ref="X113">IF($AP$21="INVERT",R113,IF(X112&gt;=$S$12,"",IF(R112="","",INDEX($R$18:$R$227,$U$17-ROWS($R$18:$R112)))))</f>
        <v/>
      </c>
      <c r="Y113" s="30" t="str">
        <f t="shared" si="11"/>
        <v/>
      </c>
      <c r="Z113" s="30" t="str">
        <f>IF(Z112="","",IF($AP$21="TYP",IF(S112="","",INDEX($S$18:$S$227,$U$17-ROWS($S$18:$S112))),IF($AP$21="INVERT",S113,"")))</f>
        <v/>
      </c>
      <c r="AA113" s="75" t="str">
        <f t="shared" si="12"/>
        <v/>
      </c>
      <c r="AB113" s="75"/>
      <c r="AC113" s="35"/>
      <c r="AD113" s="35"/>
      <c r="AE113" s="35"/>
      <c r="AF113" s="35"/>
      <c r="AG113" s="35"/>
      <c r="AH113" s="35"/>
      <c r="AI113" s="35"/>
      <c r="AJ113" s="35"/>
      <c r="AK113" s="35"/>
      <c r="AL113" s="35"/>
      <c r="AM113" s="35"/>
    </row>
    <row r="114" spans="1:39" x14ac:dyDescent="0.2">
      <c r="A114" s="32" t="str">
        <f t="shared" si="9"/>
        <v/>
      </c>
      <c r="C114" s="36" t="str">
        <f>IF(OR(C113&lt;30,C113=""),"",'Metric Calcs'!C110)</f>
        <v/>
      </c>
      <c r="D114" s="80" t="str">
        <f>IF(C114=0,"",'Metric Calcs'!D110)</f>
        <v/>
      </c>
      <c r="E114" s="80" t="str">
        <f>IF(OR(E112=1,E112=""),"",IF('Metric Data'!$B$2,'Metric Calcs'!E110,'Metric Calcs'!F110))</f>
        <v/>
      </c>
      <c r="F114" s="30" t="str">
        <f>IF(OR(F112=1,F112=""),"",IF('Metric Data'!$B$2,'Metric Calcs'!F110,'Metric Calcs'!H110))</f>
        <v/>
      </c>
      <c r="G114" s="30" t="str">
        <f>IF(OR(G112=1,G112=""),"",IF('Metric Data'!$B$2,'Metric Calcs'!G110,'Metric Calcs'!K110))</f>
        <v/>
      </c>
      <c r="H114" s="30" t="str">
        <f>IF(OR(H112=1,H112=""),"",IF('Metric Data'!$B$2,'Metric Calcs'!H110,'Metric Calcs'!N110))</f>
        <v/>
      </c>
      <c r="I114" s="30" t="str">
        <f>IF(OR(I112=1,I112=""),"",IF('Metric Data'!$B$2,'Metric Calcs'!K110,'Metric Calcs'!W110))</f>
        <v/>
      </c>
      <c r="J114" s="30" t="str">
        <f>IF('Metric Data'!$B$2,'Metric Calcs'!N110,"")</f>
        <v/>
      </c>
      <c r="K114" s="30" t="str">
        <f>IF('Metric Data'!$B$2,'Metric Calcs'!W110,"")</f>
        <v/>
      </c>
      <c r="L114" s="37" t="str">
        <f>IF('Metric Data'!$B$2,J114,H114)</f>
        <v/>
      </c>
      <c r="M114" s="112" t="str">
        <f>IF('Metric Data'!$B$2,K114,I114)</f>
        <v/>
      </c>
      <c r="O114" s="32" t="str">
        <f t="shared" si="17"/>
        <v/>
      </c>
      <c r="Q114" s="112">
        <f t="shared" si="14"/>
        <v>-0.38100000000000261</v>
      </c>
      <c r="R114" s="32" t="str">
        <f t="shared" si="16"/>
        <v/>
      </c>
      <c r="S114" s="32" t="str">
        <f t="shared" si="15"/>
        <v/>
      </c>
      <c r="U114" s="32" t="str">
        <f t="shared" si="10"/>
        <v/>
      </c>
      <c r="X114" s="30" t="str" cm="1">
        <f t="array" ref="X114">IF($AP$21="INVERT",R114,IF(X113&gt;=$S$12,"",IF(R113="","",INDEX($R$18:$R$227,$U$17-ROWS($R$18:$R113)))))</f>
        <v/>
      </c>
      <c r="Y114" s="30" t="str">
        <f t="shared" si="11"/>
        <v/>
      </c>
      <c r="Z114" s="30" t="str">
        <f>IF(Z113="","",IF($AP$21="TYP",IF(S113="","",INDEX($S$18:$S$227,$U$17-ROWS($S$18:$S113))),IF($AP$21="INVERT",S114,"")))</f>
        <v/>
      </c>
      <c r="AA114" s="75" t="str">
        <f t="shared" si="12"/>
        <v/>
      </c>
      <c r="AB114" s="75"/>
      <c r="AC114" s="35"/>
      <c r="AD114" s="35"/>
      <c r="AE114" s="35"/>
      <c r="AF114" s="35"/>
      <c r="AG114" s="35"/>
      <c r="AH114" s="35"/>
      <c r="AI114" s="35"/>
      <c r="AJ114" s="35"/>
      <c r="AK114" s="35"/>
      <c r="AL114" s="35"/>
      <c r="AM114" s="35"/>
    </row>
    <row r="115" spans="1:39" x14ac:dyDescent="0.2">
      <c r="A115" s="32" t="str">
        <f t="shared" si="9"/>
        <v/>
      </c>
      <c r="C115" s="36" t="str">
        <f>IF(OR(C114&lt;30,C114=""),"",'Metric Calcs'!C111)</f>
        <v/>
      </c>
      <c r="D115" s="80" t="str">
        <f>IF(C115=0,"",'Metric Calcs'!D111)</f>
        <v/>
      </c>
      <c r="E115" s="80" t="str">
        <f>IF(OR(E113=1,E113=""),"",IF('Metric Data'!$B$2,'Metric Calcs'!E111,'Metric Calcs'!F111))</f>
        <v/>
      </c>
      <c r="F115" s="30" t="str">
        <f>IF(OR(F113=1,F113=""),"",IF('Metric Data'!$B$2,'Metric Calcs'!F111,'Metric Calcs'!H111))</f>
        <v/>
      </c>
      <c r="G115" s="30" t="str">
        <f>IF(OR(G113=1,G113=""),"",IF('Metric Data'!$B$2,'Metric Calcs'!G111,'Metric Calcs'!K111))</f>
        <v/>
      </c>
      <c r="H115" s="30" t="str">
        <f>IF(OR(H113=1,H113=""),"",IF('Metric Data'!$B$2,'Metric Calcs'!H111,'Metric Calcs'!N111))</f>
        <v/>
      </c>
      <c r="I115" s="30" t="str">
        <f>IF(OR(I113=1,I113=""),"",IF('Metric Data'!$B$2,'Metric Calcs'!K111,'Metric Calcs'!W111))</f>
        <v/>
      </c>
      <c r="J115" s="30" t="str">
        <f>IF('Metric Data'!$B$2,'Metric Calcs'!N111,"")</f>
        <v/>
      </c>
      <c r="K115" s="30" t="str">
        <f>IF('Metric Data'!$B$2,'Metric Calcs'!W111,"")</f>
        <v/>
      </c>
      <c r="L115" s="37" t="str">
        <f>IF('Metric Data'!$B$2,J115,H115)</f>
        <v/>
      </c>
      <c r="M115" s="112" t="str">
        <f>IF('Metric Data'!$B$2,K115,I115)</f>
        <v/>
      </c>
      <c r="O115" s="32" t="str">
        <f t="shared" si="17"/>
        <v/>
      </c>
      <c r="Q115" s="112">
        <f t="shared" si="14"/>
        <v>-0.40640000000000259</v>
      </c>
      <c r="R115" s="32" t="str">
        <f t="shared" si="16"/>
        <v/>
      </c>
      <c r="S115" s="32" t="str">
        <f t="shared" si="15"/>
        <v/>
      </c>
      <c r="U115" s="32" t="str">
        <f t="shared" si="10"/>
        <v/>
      </c>
      <c r="X115" s="30" t="str" cm="1">
        <f t="array" ref="X115">IF($AP$21="INVERT",R115,IF(X114&gt;=$S$12,"",IF(R114="","",INDEX($R$18:$R$227,$U$17-ROWS($R$18:$R114)))))</f>
        <v/>
      </c>
      <c r="Y115" s="30" t="str">
        <f t="shared" si="11"/>
        <v/>
      </c>
      <c r="Z115" s="30" t="str">
        <f>IF(Z114="","",IF($AP$21="TYP",IF(S114="","",INDEX($S$18:$S$227,$U$17-ROWS($S$18:$S114))),IF($AP$21="INVERT",S115,"")))</f>
        <v/>
      </c>
      <c r="AA115" s="75" t="str">
        <f t="shared" si="12"/>
        <v/>
      </c>
      <c r="AB115" s="75"/>
      <c r="AC115" s="35"/>
      <c r="AD115" s="35"/>
      <c r="AE115" s="35"/>
      <c r="AF115" s="35"/>
      <c r="AG115" s="35"/>
      <c r="AH115" s="35"/>
      <c r="AI115" s="35"/>
      <c r="AJ115" s="35"/>
      <c r="AK115" s="35"/>
      <c r="AL115" s="35"/>
      <c r="AM115" s="35"/>
    </row>
    <row r="116" spans="1:39" x14ac:dyDescent="0.2">
      <c r="A116" s="32" t="str">
        <f t="shared" si="9"/>
        <v/>
      </c>
      <c r="C116" s="36" t="str">
        <f>IF(OR(C115&lt;30,C115=""),"",'Metric Calcs'!C112)</f>
        <v/>
      </c>
      <c r="D116" s="80" t="str">
        <f>IF(C116=0,"",'Metric Calcs'!D112)</f>
        <v/>
      </c>
      <c r="E116" s="80" t="str">
        <f>IF(OR(E114=1,E114=""),"",IF('Metric Data'!$B$2,'Metric Calcs'!E112,'Metric Calcs'!F112))</f>
        <v/>
      </c>
      <c r="F116" s="30" t="str">
        <f>IF(OR(F114=1,F114=""),"",IF('Metric Data'!$B$2,'Metric Calcs'!F112,'Metric Calcs'!H112))</f>
        <v/>
      </c>
      <c r="G116" s="30" t="str">
        <f>IF(OR(G114=1,G114=""),"",IF('Metric Data'!$B$2,'Metric Calcs'!G112,'Metric Calcs'!K112))</f>
        <v/>
      </c>
      <c r="H116" s="30" t="str">
        <f>IF(OR(H114=1,H114=""),"",IF('Metric Data'!$B$2,'Metric Calcs'!H112,'Metric Calcs'!N112))</f>
        <v/>
      </c>
      <c r="I116" s="30" t="str">
        <f>IF(OR(I114=1,I114=""),"",IF('Metric Data'!$B$2,'Metric Calcs'!K112,'Metric Calcs'!W112))</f>
        <v/>
      </c>
      <c r="J116" s="30" t="str">
        <f>IF('Metric Data'!$B$2,'Metric Calcs'!N112,"")</f>
        <v/>
      </c>
      <c r="K116" s="30" t="str">
        <f>IF('Metric Data'!$B$2,'Metric Calcs'!W112,"")</f>
        <v/>
      </c>
      <c r="L116" s="37" t="str">
        <f>IF('Metric Data'!$B$2,J116,H116)</f>
        <v/>
      </c>
      <c r="M116" s="112" t="str">
        <f>IF('Metric Data'!$B$2,K116,I116)</f>
        <v/>
      </c>
      <c r="O116" s="32" t="str">
        <f t="shared" si="17"/>
        <v/>
      </c>
      <c r="Q116" s="112">
        <f t="shared" si="14"/>
        <v>-0.43180000000000257</v>
      </c>
      <c r="R116" s="32" t="str">
        <f t="shared" si="16"/>
        <v/>
      </c>
      <c r="S116" s="32" t="str">
        <f t="shared" si="15"/>
        <v/>
      </c>
      <c r="U116" s="32" t="str">
        <f t="shared" si="10"/>
        <v/>
      </c>
      <c r="X116" s="30" t="str" cm="1">
        <f t="array" ref="X116">IF($AP$21="INVERT",R116,IF(X115&gt;=$S$12,"",IF(R115="","",INDEX($R$18:$R$227,$U$17-ROWS($R$18:$R115)))))</f>
        <v/>
      </c>
      <c r="Y116" s="30" t="str">
        <f t="shared" si="11"/>
        <v/>
      </c>
      <c r="Z116" s="30" t="str">
        <f>IF(Z115="","",IF($AP$21="TYP",IF(S115="","",INDEX($S$18:$S$227,$U$17-ROWS($S$18:$S115))),IF($AP$21="INVERT",S116,"")))</f>
        <v/>
      </c>
      <c r="AA116" s="75" t="str">
        <f t="shared" si="12"/>
        <v/>
      </c>
      <c r="AB116" s="75"/>
      <c r="AC116" s="35"/>
      <c r="AD116" s="35"/>
      <c r="AE116" s="35"/>
      <c r="AF116" s="35"/>
      <c r="AG116" s="35"/>
      <c r="AH116" s="35"/>
      <c r="AI116" s="35"/>
      <c r="AJ116" s="35"/>
      <c r="AK116" s="35"/>
      <c r="AL116" s="35"/>
      <c r="AM116" s="35"/>
    </row>
    <row r="117" spans="1:39" x14ac:dyDescent="0.2">
      <c r="A117" s="32" t="str">
        <f t="shared" si="9"/>
        <v/>
      </c>
      <c r="C117" s="36" t="str">
        <f>IF(OR(C116&lt;30,C116=""),"",'Metric Calcs'!C113)</f>
        <v/>
      </c>
      <c r="D117" s="80" t="str">
        <f>IF(C117=0,"",'Metric Calcs'!D113)</f>
        <v/>
      </c>
      <c r="E117" s="80" t="str">
        <f>IF(OR(E115=1,E115=""),"",IF('Metric Data'!$B$2,'Metric Calcs'!E113,'Metric Calcs'!F113))</f>
        <v/>
      </c>
      <c r="F117" s="30" t="str">
        <f>IF(OR(F115=1,F115=""),"",IF('Metric Data'!$B$2,'Metric Calcs'!F113,'Metric Calcs'!H113))</f>
        <v/>
      </c>
      <c r="G117" s="30" t="str">
        <f>IF(OR(G115=1,G115=""),"",IF('Metric Data'!$B$2,'Metric Calcs'!G113,'Metric Calcs'!K113))</f>
        <v/>
      </c>
      <c r="H117" s="30" t="str">
        <f>IF(OR(H115=1,H115=""),"",IF('Metric Data'!$B$2,'Metric Calcs'!H113,'Metric Calcs'!N113))</f>
        <v/>
      </c>
      <c r="I117" s="30" t="str">
        <f>IF(OR(I115=1,I115=""),"",IF('Metric Data'!$B$2,'Metric Calcs'!K113,'Metric Calcs'!W113))</f>
        <v/>
      </c>
      <c r="J117" s="30" t="str">
        <f>IF('Metric Data'!$B$2,'Metric Calcs'!N113,"")</f>
        <v/>
      </c>
      <c r="K117" s="30" t="str">
        <f>IF('Metric Data'!$B$2,'Metric Calcs'!W113,"")</f>
        <v/>
      </c>
      <c r="L117" s="37" t="str">
        <f>IF('Metric Data'!$B$2,J117,H117)</f>
        <v/>
      </c>
      <c r="M117" s="112" t="str">
        <f>IF('Metric Data'!$B$2,K117,I117)</f>
        <v/>
      </c>
      <c r="O117" s="32" t="str">
        <f t="shared" si="17"/>
        <v/>
      </c>
      <c r="Q117" s="112">
        <f t="shared" si="14"/>
        <v>-0.45720000000000255</v>
      </c>
      <c r="R117" s="32" t="str">
        <f t="shared" si="16"/>
        <v/>
      </c>
      <c r="S117" s="32" t="str">
        <f t="shared" si="15"/>
        <v/>
      </c>
      <c r="U117" s="32" t="str">
        <f t="shared" si="10"/>
        <v/>
      </c>
      <c r="X117" s="30" t="str" cm="1">
        <f t="array" ref="X117">IF($AP$21="INVERT",R117,IF(X116&gt;=$S$12,"",IF(R116="","",INDEX($R$18:$R$227,$U$17-ROWS($R$18:$R116)))))</f>
        <v/>
      </c>
      <c r="Y117" s="30" t="str">
        <f t="shared" si="11"/>
        <v/>
      </c>
      <c r="Z117" s="30" t="str">
        <f>IF(Z116="","",IF($AP$21="TYP",IF(S116="","",INDEX($S$18:$S$227,$U$17-ROWS($S$18:$S116))),IF($AP$21="INVERT",S117,"")))</f>
        <v/>
      </c>
      <c r="AA117" s="75" t="str">
        <f t="shared" si="12"/>
        <v/>
      </c>
      <c r="AB117" s="75"/>
      <c r="AC117" s="35"/>
      <c r="AD117" s="35"/>
      <c r="AE117" s="35"/>
      <c r="AF117" s="35"/>
      <c r="AG117" s="35"/>
      <c r="AH117" s="35"/>
      <c r="AI117" s="35"/>
      <c r="AJ117" s="35"/>
      <c r="AK117" s="35"/>
      <c r="AL117" s="35"/>
      <c r="AM117" s="35"/>
    </row>
    <row r="118" spans="1:39" x14ac:dyDescent="0.2">
      <c r="A118" s="32" t="str">
        <f t="shared" si="9"/>
        <v/>
      </c>
      <c r="C118" s="36" t="str">
        <f>IF(OR(C117&lt;30,C117=""),"",'Metric Calcs'!C114)</f>
        <v/>
      </c>
      <c r="D118" s="80" t="str">
        <f>IF(C118=0,"",'Metric Calcs'!D114)</f>
        <v/>
      </c>
      <c r="E118" s="80" t="str">
        <f>IF(OR(E116=1,E116=""),"",IF('Metric Data'!$B$2,'Metric Calcs'!E114,'Metric Calcs'!F114))</f>
        <v/>
      </c>
      <c r="F118" s="30" t="str">
        <f>IF(OR(F116=1,F116=""),"",IF('Metric Data'!$B$2,'Metric Calcs'!F114,'Metric Calcs'!H114))</f>
        <v/>
      </c>
      <c r="G118" s="30" t="str">
        <f>IF(OR(G116=1,G116=""),"",IF('Metric Data'!$B$2,'Metric Calcs'!G114,'Metric Calcs'!K114))</f>
        <v/>
      </c>
      <c r="H118" s="30" t="str">
        <f>IF(OR(H116=1,H116=""),"",IF('Metric Data'!$B$2,'Metric Calcs'!H114,'Metric Calcs'!N114))</f>
        <v/>
      </c>
      <c r="I118" s="30" t="str">
        <f>IF(OR(I116=1,I116=""),"",IF('Metric Data'!$B$2,'Metric Calcs'!K114,'Metric Calcs'!W114))</f>
        <v/>
      </c>
      <c r="J118" s="30" t="str">
        <f>IF('Metric Data'!$B$2,'Metric Calcs'!N114,"")</f>
        <v/>
      </c>
      <c r="K118" s="30" t="str">
        <f>IF('Metric Data'!$B$2,'Metric Calcs'!W114,"")</f>
        <v/>
      </c>
      <c r="L118" s="37" t="str">
        <f>IF('Metric Data'!$B$2,J118,H118)</f>
        <v/>
      </c>
      <c r="M118" s="112" t="str">
        <f>IF('Metric Data'!$B$2,K118,I118)</f>
        <v/>
      </c>
      <c r="O118" s="32" t="str">
        <f t="shared" si="17"/>
        <v/>
      </c>
      <c r="Q118" s="112">
        <f t="shared" si="14"/>
        <v>-0.48260000000000253</v>
      </c>
      <c r="R118" s="32" t="str">
        <f t="shared" si="16"/>
        <v/>
      </c>
      <c r="S118" s="32" t="str">
        <f t="shared" si="15"/>
        <v/>
      </c>
      <c r="U118" s="32" t="str">
        <f t="shared" si="10"/>
        <v/>
      </c>
      <c r="X118" s="30" t="str" cm="1">
        <f t="array" ref="X118">IF($AP$21="INVERT",R118,IF(X117&gt;=$S$12,"",IF(R117="","",INDEX($R$18:$R$227,$U$17-ROWS($R$18:$R117)))))</f>
        <v/>
      </c>
      <c r="Y118" s="30" t="str">
        <f t="shared" si="11"/>
        <v/>
      </c>
      <c r="Z118" s="30" t="str">
        <f>IF(Z117="","",IF($AP$21="TYP",IF(S117="","",INDEX($S$18:$S$227,$U$17-ROWS($S$18:$S117))),IF($AP$21="INVERT",S118,"")))</f>
        <v/>
      </c>
      <c r="AA118" s="75" t="str">
        <f t="shared" si="12"/>
        <v/>
      </c>
      <c r="AB118" s="75"/>
      <c r="AC118" s="35"/>
      <c r="AD118" s="35"/>
      <c r="AE118" s="35"/>
      <c r="AF118" s="35"/>
      <c r="AG118" s="35"/>
      <c r="AH118" s="35"/>
      <c r="AI118" s="35"/>
      <c r="AJ118" s="35"/>
      <c r="AK118" s="35"/>
      <c r="AL118" s="35"/>
      <c r="AM118" s="35"/>
    </row>
    <row r="119" spans="1:39" x14ac:dyDescent="0.2">
      <c r="A119" s="32" t="str">
        <f t="shared" si="9"/>
        <v/>
      </c>
      <c r="C119" s="36" t="str">
        <f>IF(OR(C118&lt;30,C118=""),"",'Metric Calcs'!C115)</f>
        <v/>
      </c>
      <c r="D119" s="80" t="str">
        <f>IF(C119=0,"",'Metric Calcs'!D115)</f>
        <v/>
      </c>
      <c r="E119" s="80" t="str">
        <f>IF(OR(E117=1,E117=""),"",IF('Metric Data'!$B$2,'Metric Calcs'!E115,'Metric Calcs'!F115))</f>
        <v/>
      </c>
      <c r="F119" s="30" t="str">
        <f>IF(OR(F117=1,F117=""),"",IF('Metric Data'!$B$2,'Metric Calcs'!F115,'Metric Calcs'!H115))</f>
        <v/>
      </c>
      <c r="G119" s="30" t="str">
        <f>IF(OR(G117=1,G117=""),"",IF('Metric Data'!$B$2,'Metric Calcs'!G115,'Metric Calcs'!K115))</f>
        <v/>
      </c>
      <c r="H119" s="30" t="str">
        <f>IF(OR(H117=1,H117=""),"",IF('Metric Data'!$B$2,'Metric Calcs'!H115,'Metric Calcs'!N115))</f>
        <v/>
      </c>
      <c r="I119" s="30" t="str">
        <f>IF(OR(I117=1,I117=""),"",IF('Metric Data'!$B$2,'Metric Calcs'!K115,'Metric Calcs'!W115))</f>
        <v/>
      </c>
      <c r="J119" s="30" t="str">
        <f>IF('Metric Data'!$B$2,'Metric Calcs'!N115,"")</f>
        <v/>
      </c>
      <c r="K119" s="30" t="str">
        <f>IF('Metric Data'!$B$2,'Metric Calcs'!W115,"")</f>
        <v/>
      </c>
      <c r="L119" s="37" t="str">
        <f>IF('Metric Data'!$B$2,J119,H119)</f>
        <v/>
      </c>
      <c r="M119" s="112" t="str">
        <f>IF('Metric Data'!$B$2,K119,I119)</f>
        <v/>
      </c>
      <c r="O119" s="32" t="str">
        <f t="shared" si="17"/>
        <v/>
      </c>
      <c r="Q119" s="112">
        <f t="shared" si="14"/>
        <v>-0.50800000000000256</v>
      </c>
      <c r="R119" s="32" t="str">
        <f t="shared" si="16"/>
        <v/>
      </c>
      <c r="S119" s="32" t="str">
        <f t="shared" si="15"/>
        <v/>
      </c>
      <c r="U119" s="32" t="str">
        <f t="shared" si="10"/>
        <v/>
      </c>
      <c r="X119" s="30" t="str" cm="1">
        <f t="array" ref="X119">IF($AP$21="INVERT",R119,IF(X118&gt;=$S$12,"",IF(R118="","",INDEX($R$18:$R$227,$U$17-ROWS($R$18:$R118)))))</f>
        <v/>
      </c>
      <c r="Y119" s="30" t="str">
        <f t="shared" si="11"/>
        <v/>
      </c>
      <c r="Z119" s="30" t="str">
        <f>IF(Z118="","",IF($AP$21="TYP",IF(S118="","",INDEX($S$18:$S$227,$U$17-ROWS($S$18:$S118))),IF($AP$21="INVERT",S119,"")))</f>
        <v/>
      </c>
      <c r="AA119" s="75" t="str">
        <f t="shared" si="12"/>
        <v/>
      </c>
      <c r="AB119" s="75"/>
      <c r="AC119" s="35"/>
      <c r="AD119" s="35"/>
      <c r="AE119" s="35"/>
      <c r="AF119" s="35"/>
      <c r="AG119" s="35"/>
      <c r="AH119" s="35"/>
      <c r="AI119" s="35"/>
      <c r="AJ119" s="35"/>
      <c r="AK119" s="35"/>
      <c r="AL119" s="35"/>
      <c r="AM119" s="35"/>
    </row>
    <row r="120" spans="1:39" x14ac:dyDescent="0.2">
      <c r="A120" s="32" t="str">
        <f t="shared" si="9"/>
        <v/>
      </c>
      <c r="C120" s="36" t="str">
        <f>IF(OR(C119&lt;30,C119=""),"",'Metric Calcs'!C116)</f>
        <v/>
      </c>
      <c r="D120" s="80" t="str">
        <f>IF(C120=0,"",'Metric Calcs'!D116)</f>
        <v/>
      </c>
      <c r="E120" s="80" t="str">
        <f>IF(OR(E118=1,E118=""),"",IF('Metric Data'!$B$2,'Metric Calcs'!E116,'Metric Calcs'!F116))</f>
        <v/>
      </c>
      <c r="F120" s="30" t="str">
        <f>IF(OR(F118=1,F118=""),"",IF('Metric Data'!$B$2,'Metric Calcs'!F116,'Metric Calcs'!H116))</f>
        <v/>
      </c>
      <c r="G120" s="30" t="str">
        <f>IF(OR(G118=1,G118=""),"",IF('Metric Data'!$B$2,'Metric Calcs'!G116,'Metric Calcs'!K116))</f>
        <v/>
      </c>
      <c r="H120" s="30" t="str">
        <f>IF(OR(H118=1,H118=""),"",IF('Metric Data'!$B$2,'Metric Calcs'!H116,'Metric Calcs'!N116))</f>
        <v/>
      </c>
      <c r="I120" s="30" t="str">
        <f>IF(OR(I118=1,I118=""),"",IF('Metric Data'!$B$2,'Metric Calcs'!K116,'Metric Calcs'!W116))</f>
        <v/>
      </c>
      <c r="J120" s="30" t="str">
        <f>IF('Metric Data'!$B$2,'Metric Calcs'!N116,"")</f>
        <v/>
      </c>
      <c r="K120" s="30" t="str">
        <f>IF('Metric Data'!$B$2,'Metric Calcs'!W116,"")</f>
        <v/>
      </c>
      <c r="L120" s="37" t="str">
        <f>IF('Metric Data'!$B$2,J120,H120)</f>
        <v/>
      </c>
      <c r="M120" s="112" t="str">
        <f>IF('Metric Data'!$B$2,K120,I120)</f>
        <v/>
      </c>
      <c r="O120" s="32" t="str">
        <f t="shared" si="17"/>
        <v/>
      </c>
      <c r="Q120" s="112">
        <f t="shared" si="14"/>
        <v>-0.53340000000000254</v>
      </c>
      <c r="R120" s="32" t="str">
        <f t="shared" si="16"/>
        <v/>
      </c>
      <c r="S120" s="32" t="str">
        <f t="shared" si="15"/>
        <v/>
      </c>
      <c r="U120" s="32" t="str">
        <f t="shared" si="10"/>
        <v/>
      </c>
      <c r="X120" s="30" t="str" cm="1">
        <f t="array" ref="X120">IF($AP$21="INVERT",R120,IF(X119&gt;=$S$12,"",IF(R119="","",INDEX($R$18:$R$227,$U$17-ROWS($R$18:$R119)))))</f>
        <v/>
      </c>
      <c r="Y120" s="30" t="str">
        <f t="shared" si="11"/>
        <v/>
      </c>
      <c r="Z120" s="30" t="str">
        <f>IF(Z119="","",IF($AP$21="TYP",IF(S119="","",INDEX($S$18:$S$227,$U$17-ROWS($S$18:$S119))),IF($AP$21="INVERT",S120,"")))</f>
        <v/>
      </c>
      <c r="AA120" s="75" t="str">
        <f t="shared" si="12"/>
        <v/>
      </c>
      <c r="AB120" s="75"/>
      <c r="AC120" s="35"/>
      <c r="AD120" s="35"/>
      <c r="AE120" s="35"/>
      <c r="AF120" s="35"/>
      <c r="AG120" s="35"/>
      <c r="AH120" s="35"/>
      <c r="AI120" s="35"/>
      <c r="AJ120" s="35"/>
      <c r="AK120" s="35"/>
      <c r="AL120" s="35"/>
      <c r="AM120" s="35"/>
    </row>
    <row r="121" spans="1:39" x14ac:dyDescent="0.2">
      <c r="A121" s="32" t="str">
        <f t="shared" si="9"/>
        <v/>
      </c>
      <c r="C121" s="36" t="str">
        <f>IF(OR(C120&lt;30,C120=""),"",'Metric Calcs'!C117)</f>
        <v/>
      </c>
      <c r="D121" s="80" t="str">
        <f>IF(C121=0,"",'Metric Calcs'!D117)</f>
        <v/>
      </c>
      <c r="E121" s="80" t="str">
        <f>IF(OR(E119=1,E119=""),"",IF('Metric Data'!$B$2,'Metric Calcs'!E117,'Metric Calcs'!F117))</f>
        <v/>
      </c>
      <c r="F121" s="30" t="str">
        <f>IF(OR(F119=1,F119=""),"",IF('Metric Data'!$B$2,'Metric Calcs'!F117,'Metric Calcs'!H117))</f>
        <v/>
      </c>
      <c r="G121" s="30" t="str">
        <f>IF(OR(G119=1,G119=""),"",IF('Metric Data'!$B$2,'Metric Calcs'!G117,'Metric Calcs'!K117))</f>
        <v/>
      </c>
      <c r="H121" s="30" t="str">
        <f>IF(OR(H119=1,H119=""),"",IF('Metric Data'!$B$2,'Metric Calcs'!H117,'Metric Calcs'!N117))</f>
        <v/>
      </c>
      <c r="I121" s="30" t="str">
        <f>IF(OR(I119=1,I119=""),"",IF('Metric Data'!$B$2,'Metric Calcs'!K117,'Metric Calcs'!W117))</f>
        <v/>
      </c>
      <c r="J121" s="30" t="str">
        <f>IF('Metric Data'!$B$2,'Metric Calcs'!N117,"")</f>
        <v/>
      </c>
      <c r="K121" s="30" t="str">
        <f>IF('Metric Data'!$B$2,'Metric Calcs'!W117,"")</f>
        <v/>
      </c>
      <c r="L121" s="37" t="str">
        <f>IF('Metric Data'!$B$2,J121,H121)</f>
        <v/>
      </c>
      <c r="M121" s="112" t="str">
        <f>IF('Metric Data'!$B$2,K121,I121)</f>
        <v/>
      </c>
      <c r="O121" s="32" t="str">
        <f t="shared" si="17"/>
        <v/>
      </c>
      <c r="Q121" s="112">
        <f t="shared" si="14"/>
        <v>-0.55880000000000252</v>
      </c>
      <c r="R121" s="32" t="str">
        <f t="shared" si="16"/>
        <v/>
      </c>
      <c r="S121" s="32" t="str">
        <f t="shared" si="15"/>
        <v/>
      </c>
      <c r="U121" s="32" t="str">
        <f t="shared" si="10"/>
        <v/>
      </c>
      <c r="X121" s="30" t="str" cm="1">
        <f t="array" ref="X121">IF($AP$21="INVERT",R121,IF(X120&gt;=$S$12,"",IF(R120="","",INDEX($R$18:$R$227,$U$17-ROWS($R$18:$R120)))))</f>
        <v/>
      </c>
      <c r="Y121" s="30" t="str">
        <f t="shared" si="11"/>
        <v/>
      </c>
      <c r="Z121" s="30" t="str">
        <f>IF(Z120="","",IF($AP$21="TYP",IF(S120="","",INDEX($S$18:$S$227,$U$17-ROWS($S$18:$S120))),IF($AP$21="INVERT",S121,"")))</f>
        <v/>
      </c>
      <c r="AA121" s="75" t="str">
        <f t="shared" si="12"/>
        <v/>
      </c>
      <c r="AB121" s="75"/>
      <c r="AC121" s="35"/>
      <c r="AD121" s="35"/>
      <c r="AE121" s="35"/>
      <c r="AF121" s="35"/>
      <c r="AG121" s="35"/>
      <c r="AH121" s="35"/>
      <c r="AI121" s="35"/>
      <c r="AJ121" s="35"/>
      <c r="AK121" s="35"/>
      <c r="AL121" s="35"/>
      <c r="AM121" s="35"/>
    </row>
    <row r="122" spans="1:39" x14ac:dyDescent="0.2">
      <c r="A122" s="32" t="str">
        <f t="shared" si="9"/>
        <v/>
      </c>
      <c r="C122" s="36" t="str">
        <f>IF(OR(C121&lt;30,C121=""),"",'Metric Calcs'!C118)</f>
        <v/>
      </c>
      <c r="D122" s="80" t="str">
        <f>IF(C122=0,"",'Metric Calcs'!D118)</f>
        <v/>
      </c>
      <c r="E122" s="80" t="str">
        <f>IF(OR(E120=1,E120=""),"",IF('Metric Data'!$B$2,'Metric Calcs'!E118,'Metric Calcs'!F118))</f>
        <v/>
      </c>
      <c r="F122" s="30" t="str">
        <f>IF(OR(F120=1,F120=""),"",IF('Metric Data'!$B$2,'Metric Calcs'!F118,'Metric Calcs'!H118))</f>
        <v/>
      </c>
      <c r="G122" s="30" t="str">
        <f>IF(OR(G120=1,G120=""),"",IF('Metric Data'!$B$2,'Metric Calcs'!G118,'Metric Calcs'!K118))</f>
        <v/>
      </c>
      <c r="H122" s="30" t="str">
        <f>IF(OR(H120=1,H120=""),"",IF('Metric Data'!$B$2,'Metric Calcs'!H118,'Metric Calcs'!N118))</f>
        <v/>
      </c>
      <c r="I122" s="30" t="str">
        <f>IF(OR(I120=1,I120=""),"",IF('Metric Data'!$B$2,'Metric Calcs'!K118,'Metric Calcs'!W118))</f>
        <v/>
      </c>
      <c r="J122" s="30" t="str">
        <f>IF('Metric Data'!$B$2,'Metric Calcs'!N118,"")</f>
        <v/>
      </c>
      <c r="K122" s="30" t="str">
        <f>IF('Metric Data'!$B$2,'Metric Calcs'!W118,"")</f>
        <v/>
      </c>
      <c r="L122" s="37" t="str">
        <f>IF('Metric Data'!$B$2,J122,H122)</f>
        <v/>
      </c>
      <c r="M122" s="112" t="str">
        <f>IF('Metric Data'!$B$2,K122,I122)</f>
        <v/>
      </c>
      <c r="O122" s="32" t="str">
        <f t="shared" si="17"/>
        <v/>
      </c>
      <c r="Q122" s="112">
        <f t="shared" si="14"/>
        <v>-0.5842000000000025</v>
      </c>
      <c r="R122" s="32" t="str">
        <f t="shared" si="16"/>
        <v/>
      </c>
      <c r="S122" s="32" t="str">
        <f t="shared" si="15"/>
        <v/>
      </c>
      <c r="U122" s="32" t="str">
        <f t="shared" si="10"/>
        <v/>
      </c>
      <c r="X122" s="30" t="str" cm="1">
        <f t="array" ref="X122">IF($AP$21="INVERT",R122,IF(X121&gt;=$S$12,"",IF(R121="","",INDEX($R$18:$R$227,$U$17-ROWS($R$18:$R121)))))</f>
        <v/>
      </c>
      <c r="Y122" s="30" t="str">
        <f t="shared" si="11"/>
        <v/>
      </c>
      <c r="Z122" s="30" t="str">
        <f>IF(Z121="","",IF($AP$21="TYP",IF(S121="","",INDEX($S$18:$S$227,$U$17-ROWS($S$18:$S121))),IF($AP$21="INVERT",S122,"")))</f>
        <v/>
      </c>
      <c r="AA122" s="75" t="str">
        <f t="shared" si="12"/>
        <v/>
      </c>
      <c r="AB122" s="75"/>
      <c r="AC122" s="35"/>
      <c r="AD122" s="35"/>
      <c r="AE122" s="35"/>
      <c r="AF122" s="35"/>
      <c r="AG122" s="35"/>
      <c r="AH122" s="35"/>
      <c r="AI122" s="35"/>
      <c r="AJ122" s="35"/>
      <c r="AK122" s="35"/>
      <c r="AL122" s="35"/>
      <c r="AM122" s="35"/>
    </row>
    <row r="123" spans="1:39" x14ac:dyDescent="0.2">
      <c r="A123" s="32" t="str">
        <f t="shared" si="9"/>
        <v/>
      </c>
      <c r="C123" s="36" t="str">
        <f>IF(OR(C122&lt;30,C122=""),"",'Metric Calcs'!C119)</f>
        <v/>
      </c>
      <c r="D123" s="80" t="str">
        <f>IF(C123=0,"",'Metric Calcs'!D119)</f>
        <v/>
      </c>
      <c r="E123" s="80" t="str">
        <f>IF(OR(E121=1,E121=""),"",IF('Metric Data'!$B$2,'Metric Calcs'!E119,'Metric Calcs'!F119))</f>
        <v/>
      </c>
      <c r="F123" s="30" t="str">
        <f>IF(OR(F121=1,F121=""),"",IF('Metric Data'!$B$2,'Metric Calcs'!F119,'Metric Calcs'!H119))</f>
        <v/>
      </c>
      <c r="G123" s="30" t="str">
        <f>IF(OR(G121=1,G121=""),"",IF('Metric Data'!$B$2,'Metric Calcs'!G119,'Metric Calcs'!K119))</f>
        <v/>
      </c>
      <c r="H123" s="30" t="str">
        <f>IF(OR(H121=1,H121=""),"",IF('Metric Data'!$B$2,'Metric Calcs'!H119,'Metric Calcs'!N119))</f>
        <v/>
      </c>
      <c r="I123" s="30" t="str">
        <f>IF(OR(I121=1,I121=""),"",IF('Metric Data'!$B$2,'Metric Calcs'!K119,'Metric Calcs'!W119))</f>
        <v/>
      </c>
      <c r="J123" s="30" t="str">
        <f>IF('Metric Data'!$B$2,'Metric Calcs'!N119,"")</f>
        <v/>
      </c>
      <c r="K123" s="30" t="str">
        <f>IF('Metric Data'!$B$2,'Metric Calcs'!W119,"")</f>
        <v/>
      </c>
      <c r="L123" s="37" t="str">
        <f>IF('Metric Data'!$B$2,J123,H123)</f>
        <v/>
      </c>
      <c r="M123" s="112" t="str">
        <f>IF('Metric Data'!$B$2,K123,I123)</f>
        <v/>
      </c>
      <c r="O123" s="32" t="str">
        <f t="shared" si="17"/>
        <v/>
      </c>
      <c r="Q123" s="112">
        <f t="shared" si="14"/>
        <v>-0.60960000000000247</v>
      </c>
      <c r="R123" s="32" t="str">
        <f t="shared" si="16"/>
        <v/>
      </c>
      <c r="S123" s="32" t="str">
        <f t="shared" si="15"/>
        <v/>
      </c>
      <c r="U123" s="32" t="str">
        <f t="shared" si="10"/>
        <v/>
      </c>
      <c r="X123" s="30" t="str" cm="1">
        <f t="array" ref="X123">IF($AP$21="INVERT",R123,IF(X122&gt;=$S$12,"",IF(R122="","",INDEX($R$18:$R$227,$U$17-ROWS($R$18:$R122)))))</f>
        <v/>
      </c>
      <c r="Y123" s="30" t="str">
        <f t="shared" si="11"/>
        <v/>
      </c>
      <c r="Z123" s="30" t="str">
        <f>IF(Z122="","",IF($AP$21="TYP",IF(S122="","",INDEX($S$18:$S$227,$U$17-ROWS($S$18:$S122))),IF($AP$21="INVERT",S123,"")))</f>
        <v/>
      </c>
      <c r="AA123" s="75" t="str">
        <f t="shared" si="12"/>
        <v/>
      </c>
      <c r="AB123" s="75"/>
      <c r="AC123" s="35"/>
      <c r="AD123" s="35"/>
      <c r="AE123" s="35"/>
      <c r="AF123" s="35"/>
      <c r="AG123" s="35"/>
      <c r="AH123" s="35"/>
      <c r="AI123" s="35"/>
      <c r="AJ123" s="35"/>
      <c r="AK123" s="35"/>
      <c r="AL123" s="35"/>
      <c r="AM123" s="35"/>
    </row>
    <row r="124" spans="1:39" x14ac:dyDescent="0.2">
      <c r="A124" s="32" t="str">
        <f t="shared" si="9"/>
        <v/>
      </c>
      <c r="C124" s="36" t="str">
        <f>IF(OR(C123&lt;30,C123=""),"",'Metric Calcs'!C120)</f>
        <v/>
      </c>
      <c r="D124" s="80" t="str">
        <f>IF(C124=0,"",'Metric Calcs'!D120)</f>
        <v/>
      </c>
      <c r="E124" s="80" t="str">
        <f>IF(OR(E122=1,E122=""),"",IF('Metric Data'!$B$2,'Metric Calcs'!E120,'Metric Calcs'!F120))</f>
        <v/>
      </c>
      <c r="F124" s="30" t="str">
        <f>IF(OR(F122=1,F122=""),"",IF('Metric Data'!$B$2,'Metric Calcs'!F120,'Metric Calcs'!H120))</f>
        <v/>
      </c>
      <c r="G124" s="30" t="str">
        <f>IF(OR(G122=1,G122=""),"",IF('Metric Data'!$B$2,'Metric Calcs'!G120,'Metric Calcs'!K120))</f>
        <v/>
      </c>
      <c r="H124" s="30" t="str">
        <f>IF(OR(H122=1,H122=""),"",IF('Metric Data'!$B$2,'Metric Calcs'!H120,'Metric Calcs'!N120))</f>
        <v/>
      </c>
      <c r="I124" s="30" t="str">
        <f>IF(OR(I122=1,I122=""),"",IF('Metric Data'!$B$2,'Metric Calcs'!K120,'Metric Calcs'!W120))</f>
        <v/>
      </c>
      <c r="J124" s="30" t="str">
        <f>IF('Metric Data'!$B$2,'Metric Calcs'!N120,"")</f>
        <v/>
      </c>
      <c r="K124" s="30" t="str">
        <f>IF('Metric Data'!$B$2,'Metric Calcs'!W120,"")</f>
        <v/>
      </c>
      <c r="L124" s="37" t="str">
        <f>IF('Metric Data'!$B$2,J124,H124)</f>
        <v/>
      </c>
      <c r="M124" s="112" t="str">
        <f>IF('Metric Data'!$B$2,K124,I124)</f>
        <v/>
      </c>
      <c r="O124" s="32" t="str">
        <f t="shared" si="17"/>
        <v/>
      </c>
      <c r="Q124" s="112">
        <f t="shared" si="14"/>
        <v>-0.63500000000000245</v>
      </c>
      <c r="R124" s="32" t="str">
        <f t="shared" si="16"/>
        <v/>
      </c>
      <c r="S124" s="32" t="str">
        <f t="shared" si="15"/>
        <v/>
      </c>
      <c r="U124" s="32" t="str">
        <f t="shared" si="10"/>
        <v/>
      </c>
      <c r="X124" s="30" t="str" cm="1">
        <f t="array" ref="X124">IF($AP$21="INVERT",R124,IF(X123&gt;=$S$12,"",IF(R123="","",INDEX($R$18:$R$227,$U$17-ROWS($R$18:$R123)))))</f>
        <v/>
      </c>
      <c r="Y124" s="30" t="str">
        <f t="shared" si="11"/>
        <v/>
      </c>
      <c r="Z124" s="30" t="str">
        <f>IF(Z123="","",IF($AP$21="TYP",IF(S123="","",INDEX($S$18:$S$227,$U$17-ROWS($S$18:$S123))),IF($AP$21="INVERT",S124,"")))</f>
        <v/>
      </c>
      <c r="AA124" s="75" t="str">
        <f t="shared" si="12"/>
        <v/>
      </c>
      <c r="AB124" s="75"/>
      <c r="AC124" s="35"/>
      <c r="AD124" s="35"/>
      <c r="AE124" s="35"/>
      <c r="AF124" s="35"/>
      <c r="AG124" s="35"/>
      <c r="AH124" s="35"/>
      <c r="AI124" s="35"/>
      <c r="AJ124" s="35"/>
      <c r="AK124" s="35"/>
      <c r="AL124" s="35"/>
      <c r="AM124" s="35"/>
    </row>
    <row r="125" spans="1:39" x14ac:dyDescent="0.2">
      <c r="A125" s="32" t="str">
        <f t="shared" si="9"/>
        <v/>
      </c>
      <c r="C125" s="36" t="str">
        <f>IF(OR(C124&lt;30,C124=""),"",'Metric Calcs'!C121)</f>
        <v/>
      </c>
      <c r="D125" s="80" t="str">
        <f>IF(C125=0,"",'Metric Calcs'!D121)</f>
        <v/>
      </c>
      <c r="E125" s="80" t="str">
        <f>IF(OR(E123=1,E123=""),"",IF('Metric Data'!$B$2,'Metric Calcs'!E121,'Metric Calcs'!F121))</f>
        <v/>
      </c>
      <c r="F125" s="30" t="str">
        <f>IF(OR(F123=1,F123=""),"",IF('Metric Data'!$B$2,'Metric Calcs'!F121,'Metric Calcs'!H121))</f>
        <v/>
      </c>
      <c r="G125" s="30" t="str">
        <f>IF(OR(G123=1,G123=""),"",IF('Metric Data'!$B$2,'Metric Calcs'!G121,'Metric Calcs'!K121))</f>
        <v/>
      </c>
      <c r="H125" s="30" t="str">
        <f>IF(OR(H123=1,H123=""),"",IF('Metric Data'!$B$2,'Metric Calcs'!H121,'Metric Calcs'!N121))</f>
        <v/>
      </c>
      <c r="I125" s="30" t="str">
        <f>IF(OR(I123=1,I123=""),"",IF('Metric Data'!$B$2,'Metric Calcs'!K121,'Metric Calcs'!W121))</f>
        <v/>
      </c>
      <c r="J125" s="30" t="str">
        <f>IF('Metric Data'!$B$2,'Metric Calcs'!N121,"")</f>
        <v/>
      </c>
      <c r="K125" s="30" t="str">
        <f>IF('Metric Data'!$B$2,'Metric Calcs'!W121,"")</f>
        <v/>
      </c>
      <c r="L125" s="37" t="str">
        <f>IF('Metric Data'!$B$2,J125,H125)</f>
        <v/>
      </c>
      <c r="M125" s="112" t="str">
        <f>IF('Metric Data'!$B$2,K125,I125)</f>
        <v/>
      </c>
      <c r="O125" s="32" t="str">
        <f t="shared" si="17"/>
        <v/>
      </c>
      <c r="Q125" s="112">
        <f t="shared" si="14"/>
        <v>-0.66040000000000243</v>
      </c>
      <c r="R125" s="32" t="str">
        <f t="shared" si="16"/>
        <v/>
      </c>
      <c r="S125" s="32" t="str">
        <f t="shared" si="15"/>
        <v/>
      </c>
      <c r="U125" s="32" t="str">
        <f t="shared" si="10"/>
        <v/>
      </c>
      <c r="X125" s="30" t="str" cm="1">
        <f t="array" ref="X125">IF($AP$21="INVERT",R125,IF(X124&gt;=$S$12,"",IF(R124="","",INDEX($R$18:$R$227,$U$17-ROWS($R$18:$R124)))))</f>
        <v/>
      </c>
      <c r="Y125" s="30" t="str">
        <f t="shared" si="11"/>
        <v/>
      </c>
      <c r="Z125" s="30" t="str">
        <f>IF(Z124="","",IF($AP$21="TYP",IF(S124="","",INDEX($S$18:$S$227,$U$17-ROWS($S$18:$S124))),IF($AP$21="INVERT",S125,"")))</f>
        <v/>
      </c>
      <c r="AA125" s="75" t="str">
        <f t="shared" si="12"/>
        <v/>
      </c>
      <c r="AB125" s="75"/>
      <c r="AC125" s="35"/>
      <c r="AD125" s="35"/>
      <c r="AE125" s="35"/>
      <c r="AF125" s="35"/>
      <c r="AG125" s="35"/>
      <c r="AH125" s="35"/>
      <c r="AI125" s="35"/>
      <c r="AJ125" s="35"/>
      <c r="AK125" s="35"/>
      <c r="AL125" s="35"/>
      <c r="AM125" s="35"/>
    </row>
    <row r="126" spans="1:39" x14ac:dyDescent="0.2">
      <c r="A126" s="32" t="str">
        <f t="shared" si="9"/>
        <v/>
      </c>
      <c r="C126" s="36" t="str">
        <f>IF(OR(C125&lt;30,C125=""),"",'Metric Calcs'!C122)</f>
        <v/>
      </c>
      <c r="D126" s="80" t="str">
        <f>IF(C126=0,"",'Metric Calcs'!D122)</f>
        <v/>
      </c>
      <c r="E126" s="80" t="str">
        <f>IF(OR(E124=1,E124=""),"",IF('Metric Data'!$B$2,'Metric Calcs'!E122,'Metric Calcs'!F122))</f>
        <v/>
      </c>
      <c r="F126" s="30" t="str">
        <f>IF(OR(F124=1,F124=""),"",IF('Metric Data'!$B$2,'Metric Calcs'!F122,'Metric Calcs'!H122))</f>
        <v/>
      </c>
      <c r="G126" s="30" t="str">
        <f>IF(OR(G124=1,G124=""),"",IF('Metric Data'!$B$2,'Metric Calcs'!G122,'Metric Calcs'!K122))</f>
        <v/>
      </c>
      <c r="H126" s="30" t="str">
        <f>IF(OR(H124=1,H124=""),"",IF('Metric Data'!$B$2,'Metric Calcs'!H122,'Metric Calcs'!N122))</f>
        <v/>
      </c>
      <c r="I126" s="30" t="str">
        <f>IF(OR(I124=1,I124=""),"",IF('Metric Data'!$B$2,'Metric Calcs'!K122,'Metric Calcs'!W122))</f>
        <v/>
      </c>
      <c r="J126" s="30" t="str">
        <f>IF('Metric Data'!$B$2,'Metric Calcs'!N122,"")</f>
        <v/>
      </c>
      <c r="K126" s="30" t="str">
        <f>IF('Metric Data'!$B$2,'Metric Calcs'!W122,"")</f>
        <v/>
      </c>
      <c r="L126" s="37" t="str">
        <f>IF('Metric Data'!$B$2,J126,H126)</f>
        <v/>
      </c>
      <c r="M126" s="112" t="str">
        <f>IF('Metric Data'!$B$2,K126,I126)</f>
        <v/>
      </c>
      <c r="O126" s="32" t="str">
        <f t="shared" si="17"/>
        <v/>
      </c>
      <c r="Q126" s="112">
        <f t="shared" si="14"/>
        <v>-0.68580000000000241</v>
      </c>
      <c r="R126" s="32" t="str">
        <f t="shared" si="16"/>
        <v/>
      </c>
      <c r="S126" s="32" t="str">
        <f t="shared" si="15"/>
        <v/>
      </c>
      <c r="U126" s="32" t="str">
        <f t="shared" si="10"/>
        <v/>
      </c>
      <c r="X126" s="30" t="str" cm="1">
        <f t="array" ref="X126">IF($AP$21="INVERT",R126,IF(X125&gt;=$S$12,"",IF(R125="","",INDEX($R$18:$R$227,$U$17-ROWS($R$18:$R125)))))</f>
        <v/>
      </c>
      <c r="Y126" s="30" t="str">
        <f t="shared" si="11"/>
        <v/>
      </c>
      <c r="Z126" s="30" t="str">
        <f>IF(Z125="","",IF($AP$21="TYP",IF(S125="","",INDEX($S$18:$S$227,$U$17-ROWS($S$18:$S125))),IF($AP$21="INVERT",S126,"")))</f>
        <v/>
      </c>
      <c r="AA126" s="75" t="str">
        <f t="shared" si="12"/>
        <v/>
      </c>
      <c r="AB126" s="75"/>
      <c r="AC126" s="35"/>
      <c r="AD126" s="35"/>
      <c r="AE126" s="35"/>
      <c r="AF126" s="35"/>
      <c r="AG126" s="35"/>
      <c r="AH126" s="35"/>
      <c r="AI126" s="35"/>
      <c r="AJ126" s="35"/>
      <c r="AK126" s="35"/>
      <c r="AL126" s="35"/>
      <c r="AM126" s="35"/>
    </row>
    <row r="127" spans="1:39" x14ac:dyDescent="0.2">
      <c r="A127" s="32" t="str">
        <f t="shared" si="9"/>
        <v/>
      </c>
      <c r="C127" s="36" t="str">
        <f>IF(OR(C126&lt;30,C126=""),"",'Metric Calcs'!C123)</f>
        <v/>
      </c>
      <c r="D127" s="80" t="str">
        <f>IF(C127=0,"",'Metric Calcs'!D123)</f>
        <v/>
      </c>
      <c r="E127" s="80" t="str">
        <f>IF(OR(E125=1,E125=""),"",IF('Metric Data'!$B$2,'Metric Calcs'!E123,'Metric Calcs'!F123))</f>
        <v/>
      </c>
      <c r="F127" s="30" t="str">
        <f>IF(OR(F125=1,F125=""),"",IF('Metric Data'!$B$2,'Metric Calcs'!F123,'Metric Calcs'!H123))</f>
        <v/>
      </c>
      <c r="G127" s="30" t="str">
        <f>IF(OR(G125=1,G125=""),"",IF('Metric Data'!$B$2,'Metric Calcs'!G123,'Metric Calcs'!K123))</f>
        <v/>
      </c>
      <c r="H127" s="30" t="str">
        <f>IF(OR(H125=1,H125=""),"",IF('Metric Data'!$B$2,'Metric Calcs'!H123,'Metric Calcs'!N123))</f>
        <v/>
      </c>
      <c r="I127" s="30" t="str">
        <f>IF(OR(I125=1,I125=""),"",IF('Metric Data'!$B$2,'Metric Calcs'!K123,'Metric Calcs'!W123))</f>
        <v/>
      </c>
      <c r="J127" s="30" t="str">
        <f>IF('Metric Data'!$B$2,'Metric Calcs'!N123,"")</f>
        <v/>
      </c>
      <c r="K127" s="30" t="str">
        <f>IF('Metric Data'!$B$2,'Metric Calcs'!W123,"")</f>
        <v/>
      </c>
      <c r="L127" s="37" t="str">
        <f>IF('Metric Data'!$B$2,J127,H127)</f>
        <v/>
      </c>
      <c r="M127" s="112" t="str">
        <f>IF('Metric Data'!$B$2,K127,I127)</f>
        <v/>
      </c>
      <c r="O127" s="32" t="str">
        <f t="shared" si="17"/>
        <v/>
      </c>
      <c r="Q127" s="112">
        <f t="shared" si="14"/>
        <v>-0.71120000000000239</v>
      </c>
      <c r="R127" s="32" t="str">
        <f t="shared" si="16"/>
        <v/>
      </c>
      <c r="S127" s="32" t="str">
        <f t="shared" si="15"/>
        <v/>
      </c>
      <c r="U127" s="32" t="str">
        <f t="shared" si="10"/>
        <v/>
      </c>
      <c r="X127" s="30" t="str" cm="1">
        <f t="array" ref="X127">IF($AP$21="INVERT",R127,IF(X126&gt;=$S$12,"",IF(R126="","",INDEX($R$18:$R$227,$U$17-ROWS($R$18:$R126)))))</f>
        <v/>
      </c>
      <c r="Y127" s="30" t="str">
        <f t="shared" si="11"/>
        <v/>
      </c>
      <c r="Z127" s="30" t="str">
        <f>IF(Z126="","",IF($AP$21="TYP",IF(S126="","",INDEX($S$18:$S$227,$U$17-ROWS($S$18:$S126))),IF($AP$21="INVERT",S127,"")))</f>
        <v/>
      </c>
      <c r="AA127" s="75" t="str">
        <f t="shared" si="12"/>
        <v/>
      </c>
      <c r="AB127" s="75"/>
      <c r="AC127" s="35"/>
      <c r="AD127" s="35"/>
      <c r="AE127" s="35"/>
      <c r="AF127" s="35"/>
      <c r="AG127" s="35"/>
      <c r="AH127" s="35"/>
      <c r="AI127" s="35"/>
      <c r="AJ127" s="35"/>
      <c r="AK127" s="35"/>
      <c r="AL127" s="35"/>
      <c r="AM127" s="35"/>
    </row>
    <row r="128" spans="1:39" x14ac:dyDescent="0.2">
      <c r="A128" s="32" t="str">
        <f t="shared" si="9"/>
        <v/>
      </c>
      <c r="C128" s="36" t="str">
        <f>IF(OR(C127&lt;30,C127=""),"",'Metric Calcs'!C124)</f>
        <v/>
      </c>
      <c r="D128" s="80" t="str">
        <f>IF(C128=0,"",'Metric Calcs'!D124)</f>
        <v/>
      </c>
      <c r="E128" s="80" t="str">
        <f>IF(OR(E126=1,E126=""),"",IF('Metric Data'!$B$2,'Metric Calcs'!E124,'Metric Calcs'!F124))</f>
        <v/>
      </c>
      <c r="F128" s="30" t="str">
        <f>IF(OR(F126=1,F126=""),"",IF('Metric Data'!$B$2,'Metric Calcs'!F124,'Metric Calcs'!H124))</f>
        <v/>
      </c>
      <c r="G128" s="30" t="str">
        <f>IF(OR(G126=1,G126=""),"",IF('Metric Data'!$B$2,'Metric Calcs'!G124,'Metric Calcs'!K124))</f>
        <v/>
      </c>
      <c r="H128" s="30" t="str">
        <f>IF(OR(H126=1,H126=""),"",IF('Metric Data'!$B$2,'Metric Calcs'!H124,'Metric Calcs'!N124))</f>
        <v/>
      </c>
      <c r="I128" s="30" t="str">
        <f>IF(OR(I126=1,I126=""),"",IF('Metric Data'!$B$2,'Metric Calcs'!K124,'Metric Calcs'!W124))</f>
        <v/>
      </c>
      <c r="J128" s="30" t="str">
        <f>IF('Metric Data'!$B$2,'Metric Calcs'!N124,"")</f>
        <v/>
      </c>
      <c r="K128" s="30" t="str">
        <f>IF('Metric Data'!$B$2,'Metric Calcs'!W124,"")</f>
        <v/>
      </c>
      <c r="L128" s="37" t="str">
        <f>IF('Metric Data'!$B$2,J128,H128)</f>
        <v/>
      </c>
      <c r="M128" s="112" t="str">
        <f>IF('Metric Data'!$B$2,K128,I128)</f>
        <v/>
      </c>
      <c r="O128" s="32" t="str">
        <f t="shared" si="17"/>
        <v/>
      </c>
      <c r="Q128" s="112">
        <f t="shared" si="14"/>
        <v>-0.73660000000000236</v>
      </c>
      <c r="R128" s="32" t="str">
        <f t="shared" si="16"/>
        <v/>
      </c>
      <c r="S128" s="32" t="str">
        <f t="shared" si="15"/>
        <v/>
      </c>
      <c r="U128" s="32" t="str">
        <f t="shared" si="10"/>
        <v/>
      </c>
      <c r="X128" s="30" t="str" cm="1">
        <f t="array" ref="X128">IF($AP$21="INVERT",R128,IF(X127&gt;=$S$12,"",IF(R127="","",INDEX($R$18:$R$227,$U$17-ROWS($R$18:$R127)))))</f>
        <v/>
      </c>
      <c r="Y128" s="30" t="str">
        <f t="shared" si="11"/>
        <v/>
      </c>
      <c r="Z128" s="30" t="str">
        <f>IF(Z127="","",IF($AP$21="TYP",IF(S127="","",INDEX($S$18:$S$227,$U$17-ROWS($S$18:$S127))),IF($AP$21="INVERT",S128,"")))</f>
        <v/>
      </c>
      <c r="AA128" s="75" t="str">
        <f t="shared" si="12"/>
        <v/>
      </c>
      <c r="AB128" s="75"/>
      <c r="AC128" s="35"/>
      <c r="AD128" s="35"/>
      <c r="AE128" s="35"/>
      <c r="AF128" s="35"/>
      <c r="AG128" s="35"/>
      <c r="AH128" s="35"/>
      <c r="AI128" s="35"/>
      <c r="AJ128" s="35"/>
      <c r="AK128" s="35"/>
      <c r="AL128" s="35"/>
      <c r="AM128" s="35"/>
    </row>
    <row r="129" spans="1:39" x14ac:dyDescent="0.2">
      <c r="A129" s="32" t="str">
        <f t="shared" si="9"/>
        <v/>
      </c>
      <c r="C129" s="36" t="str">
        <f>IF(OR(C128&lt;30,C128=""),"",'Metric Calcs'!C125)</f>
        <v/>
      </c>
      <c r="D129" s="80" t="str">
        <f>IF(C129=0,"",'Metric Calcs'!D125)</f>
        <v/>
      </c>
      <c r="E129" s="80" t="str">
        <f>IF(OR(E127=1,E127=""),"",IF('Metric Data'!$B$2,'Metric Calcs'!E125,'Metric Calcs'!F125))</f>
        <v/>
      </c>
      <c r="F129" s="30" t="str">
        <f>IF(OR(F127=1,F127=""),"",IF('Metric Data'!$B$2,'Metric Calcs'!F125,'Metric Calcs'!H125))</f>
        <v/>
      </c>
      <c r="G129" s="30" t="str">
        <f>IF(OR(G127=1,G127=""),"",IF('Metric Data'!$B$2,'Metric Calcs'!G125,'Metric Calcs'!K125))</f>
        <v/>
      </c>
      <c r="H129" s="30" t="str">
        <f>IF(OR(H127=1,H127=""),"",IF('Metric Data'!$B$2,'Metric Calcs'!H125,'Metric Calcs'!N125))</f>
        <v/>
      </c>
      <c r="I129" s="30" t="str">
        <f>IF(OR(I127=1,I127=""),"",IF('Metric Data'!$B$2,'Metric Calcs'!K125,'Metric Calcs'!W125))</f>
        <v/>
      </c>
      <c r="J129" s="30" t="str">
        <f>IF('Metric Data'!$B$2,'Metric Calcs'!N125,"")</f>
        <v/>
      </c>
      <c r="K129" s="30" t="str">
        <f>IF('Metric Data'!$B$2,'Metric Calcs'!W125,"")</f>
        <v/>
      </c>
      <c r="L129" s="37" t="str">
        <f>IF('Metric Data'!$B$2,J129,H129)</f>
        <v/>
      </c>
      <c r="M129" s="112" t="str">
        <f>IF('Metric Data'!$B$2,K129,I129)</f>
        <v/>
      </c>
      <c r="O129" s="32" t="str">
        <f t="shared" si="17"/>
        <v/>
      </c>
      <c r="Q129" s="112">
        <f t="shared" si="14"/>
        <v>-0.76200000000000234</v>
      </c>
      <c r="R129" s="32" t="str">
        <f t="shared" si="16"/>
        <v/>
      </c>
      <c r="S129" s="32" t="str">
        <f t="shared" si="15"/>
        <v/>
      </c>
      <c r="U129" s="32" t="str">
        <f t="shared" si="10"/>
        <v/>
      </c>
      <c r="X129" s="30" t="str" cm="1">
        <f t="array" ref="X129">IF($AP$21="INVERT",R129,IF(X128&gt;=$S$12,"",IF(R128="","",INDEX($R$18:$R$227,$U$17-ROWS($R$18:$R128)))))</f>
        <v/>
      </c>
      <c r="Y129" s="30" t="str">
        <f t="shared" si="11"/>
        <v/>
      </c>
      <c r="Z129" s="30" t="str">
        <f>IF(Z128="","",IF($AP$21="TYP",IF(S128="","",INDEX($S$18:$S$227,$U$17-ROWS($S$18:$S128))),IF($AP$21="INVERT",S129,"")))</f>
        <v/>
      </c>
      <c r="AA129" s="75" t="str">
        <f t="shared" si="12"/>
        <v/>
      </c>
      <c r="AB129" s="75"/>
      <c r="AC129" s="35"/>
      <c r="AD129" s="35"/>
      <c r="AE129" s="35"/>
      <c r="AF129" s="35"/>
      <c r="AG129" s="35"/>
      <c r="AH129" s="35"/>
      <c r="AI129" s="35"/>
      <c r="AJ129" s="35"/>
      <c r="AK129" s="35"/>
      <c r="AL129" s="35"/>
      <c r="AM129" s="35"/>
    </row>
    <row r="130" spans="1:39" x14ac:dyDescent="0.2">
      <c r="A130" s="32" t="str">
        <f t="shared" si="9"/>
        <v/>
      </c>
      <c r="C130" s="36" t="str">
        <f>IF(OR(C129&lt;30,C129=""),"",'Metric Calcs'!C126)</f>
        <v/>
      </c>
      <c r="D130" s="80" t="str">
        <f>IF(C130=0,"",'Metric Calcs'!D126)</f>
        <v/>
      </c>
      <c r="E130" s="80" t="str">
        <f>IF(OR(E128=1,E128=""),"",IF('Metric Data'!$B$2,'Metric Calcs'!E126,'Metric Calcs'!F126))</f>
        <v/>
      </c>
      <c r="F130" s="30" t="str">
        <f>IF(OR(F128=1,F128=""),"",IF('Metric Data'!$B$2,'Metric Calcs'!F126,'Metric Calcs'!H126))</f>
        <v/>
      </c>
      <c r="G130" s="30" t="str">
        <f>IF(OR(G128=1,G128=""),"",IF('Metric Data'!$B$2,'Metric Calcs'!G126,'Metric Calcs'!K126))</f>
        <v/>
      </c>
      <c r="H130" s="30" t="str">
        <f>IF(OR(H128=1,H128=""),"",IF('Metric Data'!$B$2,'Metric Calcs'!H126,'Metric Calcs'!N126))</f>
        <v/>
      </c>
      <c r="I130" s="30" t="str">
        <f>IF(OR(I128=1,I128=""),"",IF('Metric Data'!$B$2,'Metric Calcs'!K126,'Metric Calcs'!W126))</f>
        <v/>
      </c>
      <c r="J130" s="30" t="str">
        <f>IF('Metric Data'!$B$2,'Metric Calcs'!N126,"")</f>
        <v/>
      </c>
      <c r="K130" s="30" t="str">
        <f>IF('Metric Data'!$B$2,'Metric Calcs'!W126,"")</f>
        <v/>
      </c>
      <c r="L130" s="37" t="str">
        <f>IF('Metric Data'!$B$2,J130,H130)</f>
        <v/>
      </c>
      <c r="M130" s="112" t="str">
        <f>IF('Metric Data'!$B$2,K130,I130)</f>
        <v/>
      </c>
      <c r="O130" s="32" t="str">
        <f t="shared" si="17"/>
        <v/>
      </c>
      <c r="Q130" s="112">
        <f t="shared" si="14"/>
        <v>-0.78740000000000232</v>
      </c>
      <c r="R130" s="32" t="str">
        <f t="shared" si="16"/>
        <v/>
      </c>
      <c r="S130" s="32" t="str">
        <f t="shared" si="15"/>
        <v/>
      </c>
      <c r="U130" s="32" t="str">
        <f t="shared" si="10"/>
        <v/>
      </c>
      <c r="X130" s="30" t="str" cm="1">
        <f t="array" ref="X130">IF($AP$21="INVERT",R130,IF(X129&gt;=$S$12,"",IF(R129="","",INDEX($R$18:$R$227,$U$17-ROWS($R$18:$R129)))))</f>
        <v/>
      </c>
      <c r="Y130" s="30" t="str">
        <f t="shared" si="11"/>
        <v/>
      </c>
      <c r="Z130" s="30" t="str">
        <f>IF(Z129="","",IF($AP$21="TYP",IF(S129="","",INDEX($S$18:$S$227,$U$17-ROWS($S$18:$S129))),IF($AP$21="INVERT",S130,"")))</f>
        <v/>
      </c>
      <c r="AA130" s="75" t="str">
        <f t="shared" si="12"/>
        <v/>
      </c>
      <c r="AB130" s="75"/>
      <c r="AC130" s="35"/>
      <c r="AD130" s="35"/>
      <c r="AE130" s="35"/>
      <c r="AF130" s="35"/>
      <c r="AG130" s="35"/>
      <c r="AH130" s="35"/>
      <c r="AI130" s="35"/>
      <c r="AJ130" s="35"/>
      <c r="AK130" s="35"/>
      <c r="AL130" s="35"/>
      <c r="AM130" s="35"/>
    </row>
    <row r="131" spans="1:39" x14ac:dyDescent="0.2">
      <c r="A131" s="32" t="str">
        <f t="shared" si="9"/>
        <v/>
      </c>
      <c r="C131" s="36" t="str">
        <f>IF(OR(C130&lt;30,C130=""),"",'Metric Calcs'!C127)</f>
        <v/>
      </c>
      <c r="D131" s="80" t="str">
        <f>IF(C131=0,"",'Metric Calcs'!D127)</f>
        <v/>
      </c>
      <c r="E131" s="80" t="str">
        <f>IF(OR(E129=1,E129=""),"",IF('Metric Data'!$B$2,'Metric Calcs'!E127,'Metric Calcs'!F127))</f>
        <v/>
      </c>
      <c r="F131" s="30" t="str">
        <f>IF(OR(F129=1,F129=""),"",IF('Metric Data'!$B$2,'Metric Calcs'!F127,'Metric Calcs'!H127))</f>
        <v/>
      </c>
      <c r="G131" s="30" t="str">
        <f>IF(OR(G129=1,G129=""),"",IF('Metric Data'!$B$2,'Metric Calcs'!G127,'Metric Calcs'!K127))</f>
        <v/>
      </c>
      <c r="H131" s="30" t="str">
        <f>IF(OR(H129=1,H129=""),"",IF('Metric Data'!$B$2,'Metric Calcs'!H127,'Metric Calcs'!N127))</f>
        <v/>
      </c>
      <c r="I131" s="30" t="str">
        <f>IF(OR(I129=1,I129=""),"",IF('Metric Data'!$B$2,'Metric Calcs'!K127,'Metric Calcs'!W127))</f>
        <v/>
      </c>
      <c r="J131" s="30" t="str">
        <f>IF('Metric Data'!$B$2,'Metric Calcs'!N127,"")</f>
        <v/>
      </c>
      <c r="K131" s="30" t="str">
        <f>IF('Metric Data'!$B$2,'Metric Calcs'!W127,"")</f>
        <v/>
      </c>
      <c r="L131" s="37" t="str">
        <f>IF('Metric Data'!$B$2,J131,H131)</f>
        <v/>
      </c>
      <c r="M131" s="112" t="str">
        <f>IF('Metric Data'!$B$2,K131,I131)</f>
        <v/>
      </c>
      <c r="O131" s="32" t="str">
        <f t="shared" si="17"/>
        <v/>
      </c>
      <c r="Q131" s="112">
        <f t="shared" si="14"/>
        <v>-0.8128000000000023</v>
      </c>
      <c r="R131" s="32" t="str">
        <f t="shared" si="16"/>
        <v/>
      </c>
      <c r="S131" s="32" t="str">
        <f t="shared" si="15"/>
        <v/>
      </c>
      <c r="U131" s="32" t="str">
        <f t="shared" si="10"/>
        <v/>
      </c>
      <c r="X131" s="30" t="str" cm="1">
        <f t="array" ref="X131">IF($AP$21="INVERT",R131,IF(X130&gt;=$S$12,"",IF(R130="","",INDEX($R$18:$R$227,$U$17-ROWS($R$18:$R130)))))</f>
        <v/>
      </c>
      <c r="Y131" s="30" t="str">
        <f t="shared" si="11"/>
        <v/>
      </c>
      <c r="Z131" s="30" t="str">
        <f>IF(Z130="","",IF($AP$21="TYP",IF(S130="","",INDEX($S$18:$S$227,$U$17-ROWS($S$18:$S130))),IF($AP$21="INVERT",S131,"")))</f>
        <v/>
      </c>
      <c r="AA131" s="75" t="str">
        <f t="shared" si="12"/>
        <v/>
      </c>
      <c r="AB131" s="75"/>
      <c r="AC131" s="35"/>
      <c r="AD131" s="35"/>
      <c r="AE131" s="35"/>
      <c r="AF131" s="35"/>
      <c r="AG131" s="35"/>
      <c r="AH131" s="35"/>
      <c r="AI131" s="35"/>
      <c r="AJ131" s="35"/>
      <c r="AK131" s="35"/>
      <c r="AL131" s="35"/>
      <c r="AM131" s="35"/>
    </row>
    <row r="132" spans="1:39" x14ac:dyDescent="0.2">
      <c r="A132" s="32" t="str">
        <f t="shared" si="9"/>
        <v/>
      </c>
      <c r="C132" s="36" t="str">
        <f>IF(OR(C131&lt;30,C131=""),"",'Metric Calcs'!C128)</f>
        <v/>
      </c>
      <c r="D132" s="80" t="str">
        <f>IF(C132=0,"",'Metric Calcs'!D128)</f>
        <v/>
      </c>
      <c r="E132" s="80" t="str">
        <f>IF(OR(E130=1,E130=""),"",IF('Metric Data'!$B$2,'Metric Calcs'!E128,'Metric Calcs'!F128))</f>
        <v/>
      </c>
      <c r="F132" s="30" t="str">
        <f>IF(OR(F130=1,F130=""),"",IF('Metric Data'!$B$2,'Metric Calcs'!F128,'Metric Calcs'!H128))</f>
        <v/>
      </c>
      <c r="G132" s="30" t="str">
        <f>IF(OR(G130=1,G130=""),"",IF('Metric Data'!$B$2,'Metric Calcs'!G128,'Metric Calcs'!K128))</f>
        <v/>
      </c>
      <c r="H132" s="30" t="str">
        <f>IF(OR(H130=1,H130=""),"",IF('Metric Data'!$B$2,'Metric Calcs'!H128,'Metric Calcs'!N128))</f>
        <v/>
      </c>
      <c r="I132" s="30" t="str">
        <f>IF(OR(I130=1,I130=""),"",IF('Metric Data'!$B$2,'Metric Calcs'!K128,'Metric Calcs'!W128))</f>
        <v/>
      </c>
      <c r="J132" s="30" t="str">
        <f>IF('Metric Data'!$B$2,'Metric Calcs'!N128,"")</f>
        <v/>
      </c>
      <c r="K132" s="30" t="str">
        <f>IF('Metric Data'!$B$2,'Metric Calcs'!W128,"")</f>
        <v/>
      </c>
      <c r="L132" s="37" t="str">
        <f>IF('Metric Data'!$B$2,J132,H132)</f>
        <v/>
      </c>
      <c r="M132" s="112" t="str">
        <f>IF('Metric Data'!$B$2,K132,I132)</f>
        <v/>
      </c>
      <c r="O132" s="32" t="str">
        <f t="shared" si="17"/>
        <v/>
      </c>
      <c r="Q132" s="112">
        <f t="shared" si="14"/>
        <v>-0.83820000000000228</v>
      </c>
      <c r="R132" s="32" t="str">
        <f t="shared" si="16"/>
        <v/>
      </c>
      <c r="S132" s="32" t="str">
        <f t="shared" si="15"/>
        <v/>
      </c>
      <c r="U132" s="32" t="str">
        <f t="shared" si="10"/>
        <v/>
      </c>
      <c r="X132" s="30" t="str" cm="1">
        <f t="array" ref="X132">IF($AP$21="INVERT",R132,IF(X131&gt;=$S$12,"",IF(R131="","",INDEX($R$18:$R$227,$U$17-ROWS($R$18:$R131)))))</f>
        <v/>
      </c>
      <c r="Y132" s="30" t="str">
        <f t="shared" si="11"/>
        <v/>
      </c>
      <c r="Z132" s="30" t="str">
        <f>IF(Z131="","",IF($AP$21="TYP",IF(S131="","",INDEX($S$18:$S$227,$U$17-ROWS($S$18:$S131))),IF($AP$21="INVERT",S132,"")))</f>
        <v/>
      </c>
      <c r="AA132" s="75" t="str">
        <f t="shared" si="12"/>
        <v/>
      </c>
      <c r="AB132" s="75"/>
      <c r="AC132" s="35"/>
      <c r="AD132" s="35"/>
      <c r="AE132" s="35"/>
      <c r="AF132" s="35"/>
      <c r="AG132" s="35"/>
      <c r="AH132" s="35"/>
      <c r="AI132" s="35"/>
      <c r="AJ132" s="35"/>
      <c r="AK132" s="35"/>
      <c r="AL132" s="35"/>
      <c r="AM132" s="35"/>
    </row>
    <row r="133" spans="1:39" x14ac:dyDescent="0.2">
      <c r="A133" s="32" t="str">
        <f t="shared" si="9"/>
        <v/>
      </c>
      <c r="C133" s="36" t="str">
        <f>IF(OR(C132&lt;30,C132=""),"",'Metric Calcs'!C129)</f>
        <v/>
      </c>
      <c r="D133" s="80" t="str">
        <f>IF(C133=0,"",'Metric Calcs'!D129)</f>
        <v/>
      </c>
      <c r="E133" s="80" t="str">
        <f>IF(OR(E131=1,E131=""),"",IF('Metric Data'!$B$2,'Metric Calcs'!E129,'Metric Calcs'!F129))</f>
        <v/>
      </c>
      <c r="F133" s="30" t="str">
        <f>IF(OR(F131=1,F131=""),"",IF('Metric Data'!$B$2,'Metric Calcs'!F129,'Metric Calcs'!H129))</f>
        <v/>
      </c>
      <c r="G133" s="30" t="str">
        <f>IF(OR(G131=1,G131=""),"",IF('Metric Data'!$B$2,'Metric Calcs'!G129,'Metric Calcs'!K129))</f>
        <v/>
      </c>
      <c r="H133" s="30" t="str">
        <f>IF(OR(H131=1,H131=""),"",IF('Metric Data'!$B$2,'Metric Calcs'!H129,'Metric Calcs'!N129))</f>
        <v/>
      </c>
      <c r="I133" s="30" t="str">
        <f>IF(OR(I131=1,I131=""),"",IF('Metric Data'!$B$2,'Metric Calcs'!K129,'Metric Calcs'!W129))</f>
        <v/>
      </c>
      <c r="J133" s="30" t="str">
        <f>IF('Metric Data'!$B$2,'Metric Calcs'!N129,"")</f>
        <v/>
      </c>
      <c r="K133" s="30" t="str">
        <f>IF('Metric Data'!$B$2,'Metric Calcs'!W129,"")</f>
        <v/>
      </c>
      <c r="L133" s="37" t="str">
        <f>IF('Metric Data'!$B$2,J133,H133)</f>
        <v/>
      </c>
      <c r="M133" s="112" t="str">
        <f>IF('Metric Data'!$B$2,K133,I133)</f>
        <v/>
      </c>
      <c r="O133" s="32" t="str">
        <f t="shared" si="17"/>
        <v/>
      </c>
      <c r="Q133" s="112">
        <f t="shared" si="14"/>
        <v>-0.86360000000000225</v>
      </c>
      <c r="R133" s="32" t="str">
        <f t="shared" si="16"/>
        <v/>
      </c>
      <c r="S133" s="32" t="str">
        <f t="shared" si="15"/>
        <v/>
      </c>
      <c r="U133" s="32" t="str">
        <f t="shared" si="10"/>
        <v/>
      </c>
      <c r="X133" s="30" t="str" cm="1">
        <f t="array" ref="X133">IF($AP$21="INVERT",R133,IF(X132&gt;=$S$12,"",IF(R132="","",INDEX($R$18:$R$227,$U$17-ROWS($R$18:$R132)))))</f>
        <v/>
      </c>
      <c r="Y133" s="30" t="str">
        <f t="shared" si="11"/>
        <v/>
      </c>
      <c r="Z133" s="30" t="str">
        <f>IF(Z132="","",IF($AP$21="TYP",IF(S132="","",INDEX($S$18:$S$227,$U$17-ROWS($S$18:$S132))),IF($AP$21="INVERT",S133,"")))</f>
        <v/>
      </c>
      <c r="AA133" s="75" t="str">
        <f t="shared" si="12"/>
        <v/>
      </c>
      <c r="AB133" s="75"/>
      <c r="AC133" s="35"/>
      <c r="AD133" s="35"/>
      <c r="AE133" s="35"/>
      <c r="AF133" s="35"/>
      <c r="AG133" s="35"/>
      <c r="AH133" s="35"/>
      <c r="AI133" s="35"/>
      <c r="AJ133" s="35"/>
      <c r="AK133" s="35"/>
      <c r="AL133" s="35"/>
      <c r="AM133" s="35"/>
    </row>
    <row r="134" spans="1:39" x14ac:dyDescent="0.2">
      <c r="A134" s="32" t="str">
        <f t="shared" si="9"/>
        <v/>
      </c>
      <c r="C134" s="36" t="str">
        <f>IF(OR(C133&lt;30,C133=""),"",'Metric Calcs'!C130)</f>
        <v/>
      </c>
      <c r="D134" s="80" t="str">
        <f>IF(C134=0,"",'Metric Calcs'!D130)</f>
        <v/>
      </c>
      <c r="E134" s="80" t="str">
        <f>IF(OR(E132=1,E132=""),"",IF('Metric Data'!$B$2,'Metric Calcs'!E130,'Metric Calcs'!F130))</f>
        <v/>
      </c>
      <c r="F134" s="30" t="str">
        <f>IF(OR(F132=1,F132=""),"",IF('Metric Data'!$B$2,'Metric Calcs'!F130,'Metric Calcs'!H130))</f>
        <v/>
      </c>
      <c r="G134" s="30" t="str">
        <f>IF(OR(G132=1,G132=""),"",IF('Metric Data'!$B$2,'Metric Calcs'!G130,'Metric Calcs'!K130))</f>
        <v/>
      </c>
      <c r="H134" s="30" t="str">
        <f>IF(OR(H132=1,H132=""),"",IF('Metric Data'!$B$2,'Metric Calcs'!H130,'Metric Calcs'!N130))</f>
        <v/>
      </c>
      <c r="I134" s="30" t="str">
        <f>IF(OR(I132=1,I132=""),"",IF('Metric Data'!$B$2,'Metric Calcs'!K130,'Metric Calcs'!W130))</f>
        <v/>
      </c>
      <c r="J134" s="30" t="str">
        <f>IF('Metric Data'!$B$2,'Metric Calcs'!N130,"")</f>
        <v/>
      </c>
      <c r="K134" s="30" t="str">
        <f>IF('Metric Data'!$B$2,'Metric Calcs'!W130,"")</f>
        <v/>
      </c>
      <c r="L134" s="37" t="str">
        <f>IF('Metric Data'!$B$2,J134,H134)</f>
        <v/>
      </c>
      <c r="M134" s="112" t="str">
        <f>IF('Metric Data'!$B$2,K134,I134)</f>
        <v/>
      </c>
      <c r="O134" s="32" t="str">
        <f t="shared" si="17"/>
        <v/>
      </c>
      <c r="Q134" s="112">
        <f t="shared" si="14"/>
        <v>-0.88900000000000223</v>
      </c>
      <c r="R134" s="32" t="str">
        <f t="shared" si="16"/>
        <v/>
      </c>
      <c r="S134" s="32" t="str">
        <f t="shared" si="15"/>
        <v/>
      </c>
      <c r="U134" s="32" t="str">
        <f t="shared" si="10"/>
        <v/>
      </c>
      <c r="X134" s="30" t="str" cm="1">
        <f t="array" ref="X134">IF($AP$21="INVERT",R134,IF(X133&gt;=$S$12,"",IF(R133="","",INDEX($R$18:$R$227,$U$17-ROWS($R$18:$R133)))))</f>
        <v/>
      </c>
      <c r="Y134" s="30" t="str">
        <f t="shared" si="11"/>
        <v/>
      </c>
      <c r="Z134" s="30" t="str">
        <f>IF(Z133="","",IF($AP$21="TYP",IF(S133="","",INDEX($S$18:$S$227,$U$17-ROWS($S$18:$S133))),IF($AP$21="INVERT",S134,"")))</f>
        <v/>
      </c>
      <c r="AA134" s="75" t="str">
        <f t="shared" si="12"/>
        <v/>
      </c>
      <c r="AB134" s="75"/>
      <c r="AC134" s="35"/>
      <c r="AD134" s="35"/>
      <c r="AE134" s="35"/>
      <c r="AF134" s="35"/>
      <c r="AG134" s="35"/>
      <c r="AH134" s="35"/>
      <c r="AI134" s="35"/>
      <c r="AJ134" s="35"/>
      <c r="AK134" s="35"/>
      <c r="AL134" s="35"/>
      <c r="AM134" s="35"/>
    </row>
    <row r="135" spans="1:39" x14ac:dyDescent="0.2">
      <c r="A135" s="32" t="str">
        <f t="shared" si="9"/>
        <v/>
      </c>
      <c r="C135" s="36" t="str">
        <f>IF(OR(C134&lt;30,C134=""),"",'Metric Calcs'!C131)</f>
        <v/>
      </c>
      <c r="D135" s="80" t="str">
        <f>IF(C135=0,"",'Metric Calcs'!D131)</f>
        <v/>
      </c>
      <c r="E135" s="80" t="str">
        <f>IF(OR(E133=1,E133=""),"",IF('Metric Data'!$B$2,'Metric Calcs'!E131,'Metric Calcs'!F131))</f>
        <v/>
      </c>
      <c r="F135" s="30" t="str">
        <f>IF(OR(F133=1,F133=""),"",IF('Metric Data'!$B$2,'Metric Calcs'!F131,'Metric Calcs'!H131))</f>
        <v/>
      </c>
      <c r="G135" s="30" t="str">
        <f>IF(OR(G133=1,G133=""),"",IF('Metric Data'!$B$2,'Metric Calcs'!G131,'Metric Calcs'!K131))</f>
        <v/>
      </c>
      <c r="H135" s="30" t="str">
        <f>IF(OR(H133=1,H133=""),"",IF('Metric Data'!$B$2,'Metric Calcs'!H131,'Metric Calcs'!N131))</f>
        <v/>
      </c>
      <c r="I135" s="30" t="str">
        <f>IF(OR(I133=1,I133=""),"",IF('Metric Data'!$B$2,'Metric Calcs'!K131,'Metric Calcs'!W131))</f>
        <v/>
      </c>
      <c r="J135" s="30" t="str">
        <f>IF('Metric Data'!$B$2,'Metric Calcs'!N131,"")</f>
        <v/>
      </c>
      <c r="K135" s="30" t="str">
        <f>IF('Metric Data'!$B$2,'Metric Calcs'!W131,"")</f>
        <v/>
      </c>
      <c r="L135" s="37" t="str">
        <f>IF('Metric Data'!$B$2,J135,H135)</f>
        <v/>
      </c>
      <c r="M135" s="112" t="str">
        <f>IF('Metric Data'!$B$2,K135,I135)</f>
        <v/>
      </c>
      <c r="O135" s="32" t="str">
        <f t="shared" si="17"/>
        <v/>
      </c>
      <c r="Q135" s="112">
        <f t="shared" si="14"/>
        <v>-0.91440000000000221</v>
      </c>
      <c r="R135" s="32" t="str">
        <f t="shared" si="16"/>
        <v/>
      </c>
      <c r="S135" s="32" t="str">
        <f t="shared" si="15"/>
        <v/>
      </c>
      <c r="U135" s="32" t="str">
        <f t="shared" si="10"/>
        <v/>
      </c>
      <c r="X135" s="30" t="str" cm="1">
        <f t="array" ref="X135">IF($AP$21="INVERT",R135,IF(X134&gt;=$S$12,"",IF(R134="","",INDEX($R$18:$R$227,$U$17-ROWS($R$18:$R134)))))</f>
        <v/>
      </c>
      <c r="Y135" s="30" t="str">
        <f t="shared" si="11"/>
        <v/>
      </c>
      <c r="Z135" s="30" t="str">
        <f>IF(Z134="","",IF($AP$21="TYP",IF(S134="","",INDEX($S$18:$S$227,$U$17-ROWS($S$18:$S134))),IF($AP$21="INVERT",S135,"")))</f>
        <v/>
      </c>
      <c r="AA135" s="75" t="str">
        <f t="shared" si="12"/>
        <v/>
      </c>
      <c r="AB135" s="75"/>
      <c r="AC135" s="35"/>
      <c r="AD135" s="35"/>
      <c r="AE135" s="35"/>
      <c r="AF135" s="35"/>
      <c r="AG135" s="35"/>
      <c r="AH135" s="35"/>
      <c r="AI135" s="35"/>
      <c r="AJ135" s="35"/>
      <c r="AK135" s="35"/>
      <c r="AL135" s="35"/>
      <c r="AM135" s="35"/>
    </row>
    <row r="136" spans="1:39" x14ac:dyDescent="0.2">
      <c r="A136" s="32" t="str">
        <f t="shared" si="9"/>
        <v/>
      </c>
      <c r="C136" s="36" t="str">
        <f>IF(OR(C135&lt;30,C135=""),"",'Metric Calcs'!C132)</f>
        <v/>
      </c>
      <c r="D136" s="80" t="str">
        <f>IF(C136=0,"",'Metric Calcs'!D132)</f>
        <v/>
      </c>
      <c r="E136" s="80" t="str">
        <f>IF(OR(E134=1,E134=""),"",IF('Metric Data'!$B$2,'Metric Calcs'!E132,'Metric Calcs'!F132))</f>
        <v/>
      </c>
      <c r="F136" s="30" t="str">
        <f>IF(OR(F134=1,F134=""),"",IF('Metric Data'!$B$2,'Metric Calcs'!F132,'Metric Calcs'!H132))</f>
        <v/>
      </c>
      <c r="G136" s="30" t="str">
        <f>IF(OR(G134=1,G134=""),"",IF('Metric Data'!$B$2,'Metric Calcs'!G132,'Metric Calcs'!K132))</f>
        <v/>
      </c>
      <c r="H136" s="30" t="str">
        <f>IF(OR(H134=1,H134=""),"",IF('Metric Data'!$B$2,'Metric Calcs'!H132,'Metric Calcs'!N132))</f>
        <v/>
      </c>
      <c r="I136" s="30" t="str">
        <f>IF(OR(I134=1,I134=""),"",IF('Metric Data'!$B$2,'Metric Calcs'!K132,'Metric Calcs'!W132))</f>
        <v/>
      </c>
      <c r="J136" s="30" t="str">
        <f>IF('Metric Data'!$B$2,'Metric Calcs'!N132,"")</f>
        <v/>
      </c>
      <c r="K136" s="30" t="str">
        <f>IF('Metric Data'!$B$2,'Metric Calcs'!W132,"")</f>
        <v/>
      </c>
      <c r="L136" s="37" t="str">
        <f>IF('Metric Data'!$B$2,J136,H136)</f>
        <v/>
      </c>
      <c r="M136" s="112" t="str">
        <f>IF('Metric Data'!$B$2,K136,I136)</f>
        <v/>
      </c>
      <c r="O136" s="32" t="str">
        <f t="shared" si="17"/>
        <v/>
      </c>
      <c r="Q136" s="112">
        <f t="shared" si="14"/>
        <v>-0.93980000000000219</v>
      </c>
      <c r="R136" s="32" t="str">
        <f t="shared" si="16"/>
        <v/>
      </c>
      <c r="S136" s="32" t="str">
        <f t="shared" si="15"/>
        <v/>
      </c>
      <c r="U136" s="32" t="str">
        <f t="shared" si="10"/>
        <v/>
      </c>
      <c r="X136" s="30" t="str" cm="1">
        <f t="array" ref="X136">IF($AP$21="INVERT",R136,IF(X135&gt;=$S$12,"",IF(R135="","",INDEX($R$18:$R$227,$U$17-ROWS($R$18:$R135)))))</f>
        <v/>
      </c>
      <c r="Y136" s="30" t="str">
        <f t="shared" si="11"/>
        <v/>
      </c>
      <c r="Z136" s="30" t="str">
        <f>IF(Z135="","",IF($AP$21="TYP",IF(S135="","",INDEX($S$18:$S$227,$U$17-ROWS($S$18:$S135))),IF($AP$21="INVERT",S136,"")))</f>
        <v/>
      </c>
      <c r="AA136" s="75" t="str">
        <f t="shared" si="12"/>
        <v/>
      </c>
      <c r="AB136" s="75"/>
      <c r="AC136" s="35"/>
      <c r="AD136" s="35"/>
      <c r="AE136" s="35"/>
      <c r="AF136" s="35"/>
      <c r="AG136" s="35"/>
      <c r="AH136" s="35"/>
      <c r="AI136" s="35"/>
      <c r="AJ136" s="35"/>
      <c r="AK136" s="35"/>
      <c r="AL136" s="35"/>
      <c r="AM136" s="35"/>
    </row>
    <row r="137" spans="1:39" x14ac:dyDescent="0.2">
      <c r="A137" s="32" t="str">
        <f t="shared" si="9"/>
        <v/>
      </c>
      <c r="C137" s="36" t="str">
        <f>IF(OR(C136&lt;30,C136=""),"",'Metric Calcs'!C133)</f>
        <v/>
      </c>
      <c r="D137" s="80" t="str">
        <f>IF(C137=0,"",'Metric Calcs'!D133)</f>
        <v/>
      </c>
      <c r="E137" s="80" t="str">
        <f>IF(OR(E135=1,E135=""),"",IF('Metric Data'!$B$2,'Metric Calcs'!E133,'Metric Calcs'!F133))</f>
        <v/>
      </c>
      <c r="F137" s="30" t="str">
        <f>IF(OR(F135=1,F135=""),"",IF('Metric Data'!$B$2,'Metric Calcs'!F133,'Metric Calcs'!H133))</f>
        <v/>
      </c>
      <c r="G137" s="30" t="str">
        <f>IF(OR(G135=1,G135=""),"",IF('Metric Data'!$B$2,'Metric Calcs'!G133,'Metric Calcs'!K133))</f>
        <v/>
      </c>
      <c r="H137" s="30" t="str">
        <f>IF(OR(H135=1,H135=""),"",IF('Metric Data'!$B$2,'Metric Calcs'!H133,'Metric Calcs'!N133))</f>
        <v/>
      </c>
      <c r="I137" s="30" t="str">
        <f>IF(OR(I135=1,I135=""),"",IF('Metric Data'!$B$2,'Metric Calcs'!K133,'Metric Calcs'!W133))</f>
        <v/>
      </c>
      <c r="J137" s="30" t="str">
        <f>IF('Metric Data'!$B$2,'Metric Calcs'!N133,"")</f>
        <v/>
      </c>
      <c r="K137" s="30" t="str">
        <f>IF('Metric Data'!$B$2,'Metric Calcs'!W133,"")</f>
        <v/>
      </c>
      <c r="L137" s="37" t="str">
        <f>IF('Metric Data'!$B$2,J137,H137)</f>
        <v/>
      </c>
      <c r="M137" s="112" t="str">
        <f>IF('Metric Data'!$B$2,K137,I137)</f>
        <v/>
      </c>
      <c r="O137" s="32" t="str">
        <f t="shared" si="17"/>
        <v/>
      </c>
      <c r="Q137" s="112">
        <f t="shared" si="14"/>
        <v>-0.96520000000000217</v>
      </c>
      <c r="R137" s="32" t="str">
        <f t="shared" si="16"/>
        <v/>
      </c>
      <c r="S137" s="32" t="str">
        <f t="shared" si="15"/>
        <v/>
      </c>
      <c r="U137" s="32" t="str">
        <f t="shared" si="10"/>
        <v/>
      </c>
      <c r="X137" s="30" t="str" cm="1">
        <f t="array" ref="X137">IF($AP$21="INVERT",R137,IF(X136&gt;=$S$12,"",IF(R136="","",INDEX($R$18:$R$227,$U$17-ROWS($R$18:$R136)))))</f>
        <v/>
      </c>
      <c r="Y137" s="30" t="str">
        <f t="shared" si="11"/>
        <v/>
      </c>
      <c r="Z137" s="30" t="str">
        <f>IF(Z136="","",IF($AP$21="TYP",IF(S136="","",INDEX($S$18:$S$227,$U$17-ROWS($S$18:$S136))),IF($AP$21="INVERT",S137,"")))</f>
        <v/>
      </c>
      <c r="AA137" s="75" t="str">
        <f t="shared" si="12"/>
        <v/>
      </c>
      <c r="AB137" s="75"/>
      <c r="AC137" s="35"/>
      <c r="AD137" s="35"/>
      <c r="AE137" s="35"/>
      <c r="AF137" s="35"/>
      <c r="AG137" s="35"/>
      <c r="AH137" s="35"/>
      <c r="AI137" s="35"/>
      <c r="AJ137" s="35"/>
      <c r="AK137" s="35"/>
      <c r="AL137" s="35"/>
      <c r="AM137" s="35"/>
    </row>
    <row r="138" spans="1:39" x14ac:dyDescent="0.2">
      <c r="A138" s="32" t="str">
        <f t="shared" si="9"/>
        <v/>
      </c>
      <c r="C138" s="36" t="str">
        <f>IF(OR(C137&lt;30,C137=""),"",'Metric Calcs'!C134)</f>
        <v/>
      </c>
      <c r="D138" s="80" t="str">
        <f>IF(C138=0,"",'Metric Calcs'!D134)</f>
        <v/>
      </c>
      <c r="E138" s="80" t="str">
        <f>IF(OR(E136=1,E136=""),"",IF('Metric Data'!$B$2,'Metric Calcs'!E134,'Metric Calcs'!F134))</f>
        <v/>
      </c>
      <c r="F138" s="30" t="str">
        <f>IF(OR(F136=1,F136=""),"",IF('Metric Data'!$B$2,'Metric Calcs'!F134,'Metric Calcs'!H134))</f>
        <v/>
      </c>
      <c r="G138" s="30" t="str">
        <f>IF(OR(G136=1,G136=""),"",IF('Metric Data'!$B$2,'Metric Calcs'!G134,'Metric Calcs'!K134))</f>
        <v/>
      </c>
      <c r="H138" s="30" t="str">
        <f>IF(OR(H136=1,H136=""),"",IF('Metric Data'!$B$2,'Metric Calcs'!H134,'Metric Calcs'!N134))</f>
        <v/>
      </c>
      <c r="I138" s="30" t="str">
        <f>IF(OR(I136=1,I136=""),"",IF('Metric Data'!$B$2,'Metric Calcs'!K134,'Metric Calcs'!W134))</f>
        <v/>
      </c>
      <c r="J138" s="30" t="str">
        <f>IF('Metric Data'!$B$2,'Metric Calcs'!N134,"")</f>
        <v/>
      </c>
      <c r="K138" s="30" t="str">
        <f>IF('Metric Data'!$B$2,'Metric Calcs'!W134,"")</f>
        <v/>
      </c>
      <c r="L138" s="37" t="str">
        <f>IF('Metric Data'!$B$2,J138,H138)</f>
        <v/>
      </c>
      <c r="M138" s="112" t="str">
        <f>IF('Metric Data'!$B$2,K138,I138)</f>
        <v/>
      </c>
      <c r="O138" s="32" t="str">
        <f t="shared" si="17"/>
        <v/>
      </c>
      <c r="Q138" s="112">
        <f t="shared" si="14"/>
        <v>-0.99060000000000215</v>
      </c>
      <c r="R138" s="32" t="str">
        <f t="shared" si="16"/>
        <v/>
      </c>
      <c r="S138" s="32" t="str">
        <f t="shared" si="15"/>
        <v/>
      </c>
      <c r="U138" s="32" t="str">
        <f t="shared" si="10"/>
        <v/>
      </c>
      <c r="X138" s="30" t="str" cm="1">
        <f t="array" ref="X138">IF($AP$21="INVERT",R138,IF(X137&gt;=$S$12,"",IF(R137="","",INDEX($R$18:$R$227,$U$17-ROWS($R$18:$R137)))))</f>
        <v/>
      </c>
      <c r="Y138" s="30" t="str">
        <f t="shared" si="11"/>
        <v/>
      </c>
      <c r="Z138" s="30" t="str">
        <f>IF(Z137="","",IF($AP$21="TYP",IF(S137="","",INDEX($S$18:$S$227,$U$17-ROWS($S$18:$S137))),IF($AP$21="INVERT",S138,"")))</f>
        <v/>
      </c>
      <c r="AA138" s="75" t="str">
        <f t="shared" si="12"/>
        <v/>
      </c>
      <c r="AB138" s="75"/>
      <c r="AC138" s="35"/>
      <c r="AD138" s="35"/>
      <c r="AE138" s="35"/>
      <c r="AF138" s="35"/>
      <c r="AG138" s="35"/>
      <c r="AH138" s="35"/>
      <c r="AI138" s="35"/>
      <c r="AJ138" s="35"/>
      <c r="AK138" s="35"/>
      <c r="AL138" s="35"/>
      <c r="AM138" s="35"/>
    </row>
    <row r="139" spans="1:39" x14ac:dyDescent="0.2">
      <c r="A139" s="32" t="str">
        <f t="shared" si="9"/>
        <v/>
      </c>
      <c r="C139" s="36" t="str">
        <f>IF(OR(C138&lt;30,C138=""),"",'Metric Calcs'!C135)</f>
        <v/>
      </c>
      <c r="D139" s="80" t="str">
        <f>IF(C139=0,"",'Metric Calcs'!D135)</f>
        <v/>
      </c>
      <c r="E139" s="80" t="str">
        <f>IF(OR(E137=1,E137=""),"",IF('Metric Data'!$B$2,'Metric Calcs'!E135,'Metric Calcs'!F135))</f>
        <v/>
      </c>
      <c r="F139" s="30" t="str">
        <f>IF(OR(F137=1,F137=""),"",IF('Metric Data'!$B$2,'Metric Calcs'!F135,'Metric Calcs'!H135))</f>
        <v/>
      </c>
      <c r="G139" s="30" t="str">
        <f>IF(OR(G137=1,G137=""),"",IF('Metric Data'!$B$2,'Metric Calcs'!G135,'Metric Calcs'!K135))</f>
        <v/>
      </c>
      <c r="H139" s="30" t="str">
        <f>IF(OR(H137=1,H137=""),"",IF('Metric Data'!$B$2,'Metric Calcs'!H135,'Metric Calcs'!N135))</f>
        <v/>
      </c>
      <c r="I139" s="30" t="str">
        <f>IF(OR(I137=1,I137=""),"",IF('Metric Data'!$B$2,'Metric Calcs'!K135,'Metric Calcs'!W135))</f>
        <v/>
      </c>
      <c r="J139" s="30" t="str">
        <f>IF('Metric Data'!$B$2,'Metric Calcs'!N135,"")</f>
        <v/>
      </c>
      <c r="K139" s="30" t="str">
        <f>IF('Metric Data'!$B$2,'Metric Calcs'!W135,"")</f>
        <v/>
      </c>
      <c r="L139" s="37" t="str">
        <f>IF('Metric Data'!$B$2,J139,H139)</f>
        <v/>
      </c>
      <c r="M139" s="112" t="str">
        <f>IF('Metric Data'!$B$2,K139,I139)</f>
        <v/>
      </c>
      <c r="O139" s="32" t="str">
        <f t="shared" si="17"/>
        <v/>
      </c>
      <c r="Q139" s="112">
        <f t="shared" si="14"/>
        <v>-1.0160000000000022</v>
      </c>
      <c r="R139" s="32" t="str">
        <f t="shared" si="16"/>
        <v/>
      </c>
      <c r="S139" s="32" t="str">
        <f t="shared" si="15"/>
        <v/>
      </c>
      <c r="U139" s="32" t="str">
        <f t="shared" si="10"/>
        <v/>
      </c>
      <c r="X139" s="30" t="str" cm="1">
        <f t="array" ref="X139">IF($AP$21="INVERT",R139,IF(X138&gt;=$S$12,"",IF(R138="","",INDEX($R$18:$R$227,$U$17-ROWS($R$18:$R138)))))</f>
        <v/>
      </c>
      <c r="Y139" s="30" t="str">
        <f t="shared" si="11"/>
        <v/>
      </c>
      <c r="Z139" s="30" t="str">
        <f>IF(Z138="","",IF($AP$21="TYP",IF(S138="","",INDEX($S$18:$S$227,$U$17-ROWS($S$18:$S138))),IF($AP$21="INVERT",S139,"")))</f>
        <v/>
      </c>
      <c r="AA139" s="75" t="str">
        <f t="shared" si="12"/>
        <v/>
      </c>
      <c r="AB139" s="75"/>
      <c r="AC139" s="35"/>
      <c r="AD139" s="35"/>
      <c r="AE139" s="35"/>
      <c r="AF139" s="35"/>
      <c r="AG139" s="35"/>
      <c r="AH139" s="35"/>
      <c r="AI139" s="35"/>
      <c r="AJ139" s="35"/>
      <c r="AK139" s="35"/>
      <c r="AL139" s="35"/>
      <c r="AM139" s="35"/>
    </row>
    <row r="140" spans="1:39" x14ac:dyDescent="0.2">
      <c r="A140" s="32" t="str">
        <f t="shared" si="9"/>
        <v/>
      </c>
      <c r="C140" s="36" t="str">
        <f>IF(OR(C139&lt;30,C139=""),"",'Metric Calcs'!C136)</f>
        <v/>
      </c>
      <c r="D140" s="80" t="str">
        <f>IF(C140=0,"",'Metric Calcs'!D136)</f>
        <v/>
      </c>
      <c r="E140" s="80" t="str">
        <f>IF(OR(E138=1,E138=""),"",IF('Metric Data'!$B$2,'Metric Calcs'!E136,'Metric Calcs'!F136))</f>
        <v/>
      </c>
      <c r="F140" s="30" t="str">
        <f>IF(OR(F138=1,F138=""),"",IF('Metric Data'!$B$2,'Metric Calcs'!F136,'Metric Calcs'!H136))</f>
        <v/>
      </c>
      <c r="G140" s="30" t="str">
        <f>IF(OR(G138=1,G138=""),"",IF('Metric Data'!$B$2,'Metric Calcs'!G136,'Metric Calcs'!K136))</f>
        <v/>
      </c>
      <c r="H140" s="30" t="str">
        <f>IF(OR(H138=1,H138=""),"",IF('Metric Data'!$B$2,'Metric Calcs'!H136,'Metric Calcs'!N136))</f>
        <v/>
      </c>
      <c r="I140" s="30" t="str">
        <f>IF(OR(I138=1,I138=""),"",IF('Metric Data'!$B$2,'Metric Calcs'!K136,'Metric Calcs'!W136))</f>
        <v/>
      </c>
      <c r="J140" s="30" t="str">
        <f>IF('Metric Data'!$B$2,'Metric Calcs'!N136,"")</f>
        <v/>
      </c>
      <c r="K140" s="30" t="str">
        <f>IF('Metric Data'!$B$2,'Metric Calcs'!W136,"")</f>
        <v/>
      </c>
      <c r="L140" s="37" t="str">
        <f>IF('Metric Data'!$B$2,J140,H140)</f>
        <v/>
      </c>
      <c r="M140" s="112" t="str">
        <f>IF('Metric Data'!$B$2,K140,I140)</f>
        <v/>
      </c>
      <c r="O140" s="32" t="str">
        <f t="shared" si="17"/>
        <v/>
      </c>
      <c r="Q140" s="112">
        <f t="shared" si="14"/>
        <v>-1.0414000000000023</v>
      </c>
      <c r="R140" s="32" t="str">
        <f t="shared" si="16"/>
        <v/>
      </c>
      <c r="S140" s="32" t="str">
        <f t="shared" si="15"/>
        <v/>
      </c>
      <c r="U140" s="32" t="str">
        <f t="shared" si="10"/>
        <v/>
      </c>
      <c r="X140" s="30" t="str" cm="1">
        <f t="array" ref="X140">IF($AP$21="INVERT",R140,IF(X139&gt;=$S$12,"",IF(R139="","",INDEX($R$18:$R$227,$U$17-ROWS($R$18:$R139)))))</f>
        <v/>
      </c>
      <c r="Y140" s="30" t="str">
        <f t="shared" si="11"/>
        <v/>
      </c>
      <c r="Z140" s="30" t="str">
        <f>IF(Z139="","",IF($AP$21="TYP",IF(S139="","",INDEX($S$18:$S$227,$U$17-ROWS($S$18:$S139))),IF($AP$21="INVERT",S140,"")))</f>
        <v/>
      </c>
      <c r="AA140" s="75" t="str">
        <f t="shared" si="12"/>
        <v/>
      </c>
      <c r="AB140" s="75"/>
      <c r="AC140" s="35"/>
      <c r="AD140" s="35"/>
      <c r="AE140" s="35"/>
      <c r="AF140" s="35"/>
      <c r="AG140" s="35"/>
      <c r="AH140" s="35"/>
      <c r="AI140" s="35"/>
      <c r="AJ140" s="35"/>
      <c r="AK140" s="35"/>
      <c r="AL140" s="35"/>
      <c r="AM140" s="35"/>
    </row>
    <row r="141" spans="1:39" x14ac:dyDescent="0.2">
      <c r="A141" s="32" t="str">
        <f t="shared" si="9"/>
        <v/>
      </c>
      <c r="C141" s="36" t="str">
        <f>IF(OR(C140&lt;30,C140=""),"",'Metric Calcs'!C137)</f>
        <v/>
      </c>
      <c r="D141" s="80" t="str">
        <f>IF(C141=0,"",'Metric Calcs'!D137)</f>
        <v/>
      </c>
      <c r="E141" s="80" t="str">
        <f>IF(OR(E139=1,E139=""),"",IF('Metric Data'!$B$2,'Metric Calcs'!E137,'Metric Calcs'!F137))</f>
        <v/>
      </c>
      <c r="F141" s="30" t="str">
        <f>IF(OR(F139=1,F139=""),"",IF('Metric Data'!$B$2,'Metric Calcs'!F137,'Metric Calcs'!H137))</f>
        <v/>
      </c>
      <c r="G141" s="30" t="str">
        <f>IF(OR(G139=1,G139=""),"",IF('Metric Data'!$B$2,'Metric Calcs'!G137,'Metric Calcs'!K137))</f>
        <v/>
      </c>
      <c r="H141" s="30" t="str">
        <f>IF(OR(H139=1,H139=""),"",IF('Metric Data'!$B$2,'Metric Calcs'!H137,'Metric Calcs'!N137))</f>
        <v/>
      </c>
      <c r="I141" s="30" t="str">
        <f>IF(OR(I139=1,I139=""),"",IF('Metric Data'!$B$2,'Metric Calcs'!K137,'Metric Calcs'!W137))</f>
        <v/>
      </c>
      <c r="J141" s="30" t="str">
        <f>IF('Metric Data'!$B$2,'Metric Calcs'!N137,"")</f>
        <v/>
      </c>
      <c r="K141" s="30" t="str">
        <f>IF('Metric Data'!$B$2,'Metric Calcs'!W137,"")</f>
        <v/>
      </c>
      <c r="L141" s="37" t="str">
        <f>IF('Metric Data'!$B$2,J141,H141)</f>
        <v/>
      </c>
      <c r="M141" s="112" t="str">
        <f>IF('Metric Data'!$B$2,K141,I141)</f>
        <v/>
      </c>
      <c r="O141" s="32" t="str">
        <f t="shared" si="17"/>
        <v/>
      </c>
      <c r="Q141" s="112">
        <f t="shared" si="14"/>
        <v>-1.0668000000000024</v>
      </c>
      <c r="R141" s="32" t="str">
        <f t="shared" si="16"/>
        <v/>
      </c>
      <c r="S141" s="32" t="str">
        <f t="shared" si="15"/>
        <v/>
      </c>
      <c r="U141" s="32" t="str">
        <f t="shared" si="10"/>
        <v/>
      </c>
      <c r="X141" s="30" t="str" cm="1">
        <f t="array" ref="X141">IF($AP$21="INVERT",R141,IF(X140&gt;=$S$12,"",IF(R140="","",INDEX($R$18:$R$227,$U$17-ROWS($R$18:$R140)))))</f>
        <v/>
      </c>
      <c r="Y141" s="30" t="str">
        <f t="shared" si="11"/>
        <v/>
      </c>
      <c r="Z141" s="30" t="str">
        <f>IF(Z140="","",IF($AP$21="TYP",IF(S140="","",INDEX($S$18:$S$227,$U$17-ROWS($S$18:$S140))),IF($AP$21="INVERT",S141,"")))</f>
        <v/>
      </c>
      <c r="AA141" s="75" t="str">
        <f t="shared" si="12"/>
        <v/>
      </c>
      <c r="AB141" s="75"/>
      <c r="AC141" s="35"/>
      <c r="AD141" s="35"/>
      <c r="AE141" s="35"/>
      <c r="AF141" s="35"/>
      <c r="AG141" s="35"/>
      <c r="AH141" s="35"/>
      <c r="AI141" s="35"/>
      <c r="AJ141" s="35"/>
      <c r="AK141" s="35"/>
      <c r="AL141" s="35"/>
      <c r="AM141" s="35"/>
    </row>
    <row r="142" spans="1:39" x14ac:dyDescent="0.2">
      <c r="A142" s="32" t="str">
        <f t="shared" si="9"/>
        <v/>
      </c>
      <c r="C142" s="36" t="str">
        <f>IF(OR(C141&lt;30,C141=""),"",'Metric Calcs'!C138)</f>
        <v/>
      </c>
      <c r="D142" s="80" t="str">
        <f>IF(C142=0,"",'Metric Calcs'!D138)</f>
        <v/>
      </c>
      <c r="E142" s="80" t="str">
        <f>IF(OR(E140=1,E140=""),"",IF('Metric Data'!$B$2,'Metric Calcs'!E138,'Metric Calcs'!F138))</f>
        <v/>
      </c>
      <c r="F142" s="30" t="str">
        <f>IF(OR(F140=1,F140=""),"",IF('Metric Data'!$B$2,'Metric Calcs'!F138,'Metric Calcs'!H138))</f>
        <v/>
      </c>
      <c r="G142" s="30" t="str">
        <f>IF(OR(G140=1,G140=""),"",IF('Metric Data'!$B$2,'Metric Calcs'!G138,'Metric Calcs'!K138))</f>
        <v/>
      </c>
      <c r="H142" s="30" t="str">
        <f>IF(OR(H140=1,H140=""),"",IF('Metric Data'!$B$2,'Metric Calcs'!H138,'Metric Calcs'!N138))</f>
        <v/>
      </c>
      <c r="I142" s="30" t="str">
        <f>IF(OR(I140=1,I140=""),"",IF('Metric Data'!$B$2,'Metric Calcs'!K138,'Metric Calcs'!W138))</f>
        <v/>
      </c>
      <c r="J142" s="30" t="str">
        <f>IF('Metric Data'!$B$2,'Metric Calcs'!N138,"")</f>
        <v/>
      </c>
      <c r="K142" s="30" t="str">
        <f>IF('Metric Data'!$B$2,'Metric Calcs'!W138,"")</f>
        <v/>
      </c>
      <c r="L142" s="37" t="str">
        <f>IF('Metric Data'!$B$2,J142,H142)</f>
        <v/>
      </c>
      <c r="M142" s="112" t="str">
        <f>IF('Metric Data'!$B$2,K142,I142)</f>
        <v/>
      </c>
      <c r="O142" s="32" t="str">
        <f t="shared" si="17"/>
        <v/>
      </c>
      <c r="Q142" s="112">
        <f t="shared" si="14"/>
        <v>-1.0922000000000025</v>
      </c>
      <c r="R142" s="32" t="str">
        <f t="shared" si="16"/>
        <v/>
      </c>
      <c r="S142" s="32" t="str">
        <f t="shared" si="15"/>
        <v/>
      </c>
      <c r="U142" s="32" t="str">
        <f t="shared" si="10"/>
        <v/>
      </c>
      <c r="X142" s="30" t="str" cm="1">
        <f t="array" ref="X142">IF($AP$21="INVERT",R142,IF(X141&gt;=$S$12,"",IF(R141="","",INDEX($R$18:$R$227,$U$17-ROWS($R$18:$R141)))))</f>
        <v/>
      </c>
      <c r="Y142" s="30" t="str">
        <f t="shared" si="11"/>
        <v/>
      </c>
      <c r="Z142" s="30" t="str">
        <f>IF(Z141="","",IF($AP$21="TYP",IF(S141="","",INDEX($S$18:$S$227,$U$17-ROWS($S$18:$S141))),IF($AP$21="INVERT",S142,"")))</f>
        <v/>
      </c>
      <c r="AA142" s="75" t="str">
        <f t="shared" si="12"/>
        <v/>
      </c>
      <c r="AB142" s="75"/>
      <c r="AC142" s="35"/>
      <c r="AD142" s="35"/>
      <c r="AE142" s="35"/>
      <c r="AF142" s="35"/>
      <c r="AG142" s="35"/>
      <c r="AH142" s="35"/>
      <c r="AI142" s="35"/>
      <c r="AJ142" s="35"/>
      <c r="AK142" s="35"/>
      <c r="AL142" s="35"/>
      <c r="AM142" s="35"/>
    </row>
    <row r="143" spans="1:39" x14ac:dyDescent="0.2">
      <c r="A143" s="32" t="str">
        <f t="shared" si="9"/>
        <v/>
      </c>
      <c r="C143" s="36" t="str">
        <f>IF(OR(C142&lt;30,C142=""),"",'Metric Calcs'!C139)</f>
        <v/>
      </c>
      <c r="D143" s="80" t="str">
        <f>IF(C143=0,"",'Metric Calcs'!D139)</f>
        <v/>
      </c>
      <c r="E143" s="80" t="str">
        <f>IF(OR(E141=1,E141=""),"",IF('Metric Data'!$B$2,'Metric Calcs'!E139,'Metric Calcs'!F139))</f>
        <v/>
      </c>
      <c r="F143" s="30" t="str">
        <f>IF(OR(F141=1,F141=""),"",IF('Metric Data'!$B$2,'Metric Calcs'!F139,'Metric Calcs'!H139))</f>
        <v/>
      </c>
      <c r="G143" s="30" t="str">
        <f>IF(OR(G141=1,G141=""),"",IF('Metric Data'!$B$2,'Metric Calcs'!G139,'Metric Calcs'!K139))</f>
        <v/>
      </c>
      <c r="H143" s="30" t="str">
        <f>IF(OR(H141=1,H141=""),"",IF('Metric Data'!$B$2,'Metric Calcs'!H139,'Metric Calcs'!N139))</f>
        <v/>
      </c>
      <c r="I143" s="30" t="str">
        <f>IF(OR(I141=1,I141=""),"",IF('Metric Data'!$B$2,'Metric Calcs'!K139,'Metric Calcs'!W139))</f>
        <v/>
      </c>
      <c r="J143" s="30" t="str">
        <f>IF('Metric Data'!$B$2,'Metric Calcs'!N139,"")</f>
        <v/>
      </c>
      <c r="K143" s="30" t="str">
        <f>IF('Metric Data'!$B$2,'Metric Calcs'!W139,"")</f>
        <v/>
      </c>
      <c r="L143" s="37" t="str">
        <f>IF('Metric Data'!$B$2,J143,H143)</f>
        <v/>
      </c>
      <c r="M143" s="112" t="str">
        <f>IF('Metric Data'!$B$2,K143,I143)</f>
        <v/>
      </c>
      <c r="O143" s="32" t="str">
        <f t="shared" si="17"/>
        <v/>
      </c>
      <c r="Q143" s="112">
        <f t="shared" si="14"/>
        <v>-1.1176000000000026</v>
      </c>
      <c r="R143" s="32" t="str">
        <f t="shared" si="16"/>
        <v/>
      </c>
      <c r="S143" s="32" t="str">
        <f t="shared" si="15"/>
        <v/>
      </c>
      <c r="U143" s="32" t="str">
        <f t="shared" si="10"/>
        <v/>
      </c>
      <c r="X143" s="30" t="str" cm="1">
        <f t="array" ref="X143">IF($AP$21="INVERT",R143,IF(X142&gt;=$S$12,"",IF(R142="","",INDEX($R$18:$R$227,$U$17-ROWS($R$18:$R142)))))</f>
        <v/>
      </c>
      <c r="Y143" s="30" t="str">
        <f t="shared" si="11"/>
        <v/>
      </c>
      <c r="Z143" s="30" t="str">
        <f>IF(Z142="","",IF($AP$21="TYP",IF(S142="","",INDEX($S$18:$S$227,$U$17-ROWS($S$18:$S142))),IF($AP$21="INVERT",S143,"")))</f>
        <v/>
      </c>
      <c r="AA143" s="75" t="str">
        <f t="shared" si="12"/>
        <v/>
      </c>
      <c r="AB143" s="75"/>
      <c r="AC143" s="35"/>
      <c r="AD143" s="35"/>
      <c r="AE143" s="35"/>
      <c r="AF143" s="35"/>
      <c r="AG143" s="35"/>
      <c r="AH143" s="35"/>
      <c r="AI143" s="35"/>
      <c r="AJ143" s="35"/>
      <c r="AK143" s="35"/>
      <c r="AL143" s="35"/>
      <c r="AM143" s="35"/>
    </row>
    <row r="144" spans="1:39" x14ac:dyDescent="0.2">
      <c r="A144" s="32" t="str">
        <f t="shared" si="9"/>
        <v/>
      </c>
      <c r="C144" s="36" t="str">
        <f>IF(OR(C143&lt;30,C143=""),"",'Metric Calcs'!C140)</f>
        <v/>
      </c>
      <c r="D144" s="80" t="str">
        <f>IF(C144=0,"",'Metric Calcs'!D140)</f>
        <v/>
      </c>
      <c r="E144" s="80" t="str">
        <f>IF(OR(E142=1,E142=""),"",IF('Metric Data'!$B$2,'Metric Calcs'!E140,'Metric Calcs'!F140))</f>
        <v/>
      </c>
      <c r="F144" s="30" t="str">
        <f>IF(OR(F142=1,F142=""),"",IF('Metric Data'!$B$2,'Metric Calcs'!F140,'Metric Calcs'!H140))</f>
        <v/>
      </c>
      <c r="G144" s="30" t="str">
        <f>IF(OR(G142=1,G142=""),"",IF('Metric Data'!$B$2,'Metric Calcs'!G140,'Metric Calcs'!K140))</f>
        <v/>
      </c>
      <c r="H144" s="30" t="str">
        <f>IF(OR(H142=1,H142=""),"",IF('Metric Data'!$B$2,'Metric Calcs'!H140,'Metric Calcs'!N140))</f>
        <v/>
      </c>
      <c r="I144" s="30" t="str">
        <f>IF(OR(I142=1,I142=""),"",IF('Metric Data'!$B$2,'Metric Calcs'!K140,'Metric Calcs'!W140))</f>
        <v/>
      </c>
      <c r="J144" s="30" t="str">
        <f>IF('Metric Data'!$B$2,'Metric Calcs'!N140,"")</f>
        <v/>
      </c>
      <c r="K144" s="30" t="str">
        <f>IF('Metric Data'!$B$2,'Metric Calcs'!W140,"")</f>
        <v/>
      </c>
      <c r="L144" s="37" t="str">
        <f>IF('Metric Data'!$B$2,J144,H144)</f>
        <v/>
      </c>
      <c r="M144" s="112" t="str">
        <f>IF('Metric Data'!$B$2,K144,I144)</f>
        <v/>
      </c>
      <c r="O144" s="32" t="str">
        <f t="shared" si="17"/>
        <v/>
      </c>
      <c r="Q144" s="112">
        <f t="shared" si="14"/>
        <v>-1.1430000000000027</v>
      </c>
      <c r="R144" s="32" t="str">
        <f t="shared" si="16"/>
        <v/>
      </c>
      <c r="S144" s="32" t="str">
        <f t="shared" si="15"/>
        <v/>
      </c>
      <c r="U144" s="32" t="str">
        <f t="shared" si="10"/>
        <v/>
      </c>
      <c r="X144" s="30" t="str" cm="1">
        <f t="array" ref="X144">IF($AP$21="INVERT",R144,IF(X143&gt;=$S$12,"",IF(R143="","",INDEX($R$18:$R$227,$U$17-ROWS($R$18:$R143)))))</f>
        <v/>
      </c>
      <c r="Y144" s="30" t="str">
        <f t="shared" si="11"/>
        <v/>
      </c>
      <c r="Z144" s="30" t="str">
        <f>IF(Z143="","",IF($AP$21="TYP",IF(S143="","",INDEX($S$18:$S$227,$U$17-ROWS($S$18:$S143))),IF($AP$21="INVERT",S144,"")))</f>
        <v/>
      </c>
      <c r="AA144" s="75" t="str">
        <f t="shared" si="12"/>
        <v/>
      </c>
      <c r="AB144" s="75"/>
      <c r="AC144" s="35"/>
      <c r="AD144" s="35"/>
      <c r="AE144" s="35"/>
      <c r="AF144" s="35"/>
      <c r="AG144" s="35"/>
      <c r="AH144" s="35"/>
      <c r="AI144" s="35"/>
      <c r="AJ144" s="35"/>
      <c r="AK144" s="35"/>
      <c r="AL144" s="35"/>
      <c r="AM144" s="35"/>
    </row>
    <row r="145" spans="1:39" x14ac:dyDescent="0.2">
      <c r="A145" s="32" t="str">
        <f t="shared" si="9"/>
        <v/>
      </c>
      <c r="C145" s="36" t="str">
        <f>IF(OR(C144&lt;30,C144=""),"",'Metric Calcs'!C141)</f>
        <v/>
      </c>
      <c r="D145" s="80" t="str">
        <f>IF(C145=0,"",'Metric Calcs'!D141)</f>
        <v/>
      </c>
      <c r="E145" s="80" t="str">
        <f>IF(OR(E143=1,E143=""),"",IF('Metric Data'!$B$2,'Metric Calcs'!E141,'Metric Calcs'!F141))</f>
        <v/>
      </c>
      <c r="F145" s="30" t="str">
        <f>IF(OR(F143=1,F143=""),"",IF('Metric Data'!$B$2,'Metric Calcs'!F141,'Metric Calcs'!H141))</f>
        <v/>
      </c>
      <c r="G145" s="30" t="str">
        <f>IF(OR(G143=1,G143=""),"",IF('Metric Data'!$B$2,'Metric Calcs'!G141,'Metric Calcs'!K141))</f>
        <v/>
      </c>
      <c r="H145" s="30" t="str">
        <f>IF(OR(H143=1,H143=""),"",IF('Metric Data'!$B$2,'Metric Calcs'!H141,'Metric Calcs'!N141))</f>
        <v/>
      </c>
      <c r="I145" s="30" t="str">
        <f>IF(OR(I143=1,I143=""),"",IF('Metric Data'!$B$2,'Metric Calcs'!K141,'Metric Calcs'!W141))</f>
        <v/>
      </c>
      <c r="J145" s="30" t="str">
        <f>IF('Metric Data'!$B$2,'Metric Calcs'!N141,"")</f>
        <v/>
      </c>
      <c r="K145" s="30" t="str">
        <f>IF('Metric Data'!$B$2,'Metric Calcs'!W141,"")</f>
        <v/>
      </c>
      <c r="L145" s="37" t="str">
        <f>IF('Metric Data'!$B$2,J145,H145)</f>
        <v/>
      </c>
      <c r="M145" s="112" t="str">
        <f>IF('Metric Data'!$B$2,K145,I145)</f>
        <v/>
      </c>
      <c r="O145" s="32" t="str">
        <f t="shared" si="17"/>
        <v/>
      </c>
      <c r="Q145" s="112">
        <f t="shared" si="14"/>
        <v>-1.1684000000000028</v>
      </c>
      <c r="R145" s="32" t="str">
        <f t="shared" si="16"/>
        <v/>
      </c>
      <c r="S145" s="32" t="str">
        <f t="shared" si="15"/>
        <v/>
      </c>
      <c r="U145" s="32" t="str">
        <f t="shared" si="10"/>
        <v/>
      </c>
      <c r="X145" s="30" t="str" cm="1">
        <f t="array" ref="X145">IF($AP$21="INVERT",R145,IF(X144&gt;=$S$12,"",IF(R144="","",INDEX($R$18:$R$227,$U$17-ROWS($R$18:$R144)))))</f>
        <v/>
      </c>
      <c r="Y145" s="30" t="str">
        <f t="shared" si="11"/>
        <v/>
      </c>
      <c r="Z145" s="30" t="str">
        <f>IF(Z144="","",IF($AP$21="TYP",IF(S144="","",INDEX($S$18:$S$227,$U$17-ROWS($S$18:$S144))),IF($AP$21="INVERT",S145,"")))</f>
        <v/>
      </c>
      <c r="AA145" s="75" t="str">
        <f t="shared" si="12"/>
        <v/>
      </c>
      <c r="AB145" s="75"/>
      <c r="AC145" s="35"/>
      <c r="AD145" s="35"/>
      <c r="AE145" s="35"/>
      <c r="AF145" s="35"/>
      <c r="AG145" s="35"/>
      <c r="AH145" s="35"/>
      <c r="AI145" s="35"/>
      <c r="AJ145" s="35"/>
      <c r="AK145" s="35"/>
      <c r="AL145" s="35"/>
      <c r="AM145" s="35"/>
    </row>
    <row r="146" spans="1:39" x14ac:dyDescent="0.2">
      <c r="A146" s="32" t="str">
        <f t="shared" ref="A146:A209" si="18">IF(C146&lt;&gt;"",A145+1,"")</f>
        <v/>
      </c>
      <c r="C146" s="36" t="str">
        <f>IF(OR(C145&lt;30,C145=""),"",'Metric Calcs'!C142)</f>
        <v/>
      </c>
      <c r="D146" s="80" t="str">
        <f>IF(C146=0,"",'Metric Calcs'!D142)</f>
        <v/>
      </c>
      <c r="E146" s="80" t="str">
        <f>IF(OR(E144=1,E144=""),"",IF('Metric Data'!$B$2,'Metric Calcs'!E142,'Metric Calcs'!F142))</f>
        <v/>
      </c>
      <c r="F146" s="30" t="str">
        <f>IF(OR(F144=1,F144=""),"",IF('Metric Data'!$B$2,'Metric Calcs'!F142,'Metric Calcs'!H142))</f>
        <v/>
      </c>
      <c r="G146" s="30" t="str">
        <f>IF(OR(G144=1,G144=""),"",IF('Metric Data'!$B$2,'Metric Calcs'!G142,'Metric Calcs'!K142))</f>
        <v/>
      </c>
      <c r="H146" s="30" t="str">
        <f>IF(OR(H144=1,H144=""),"",IF('Metric Data'!$B$2,'Metric Calcs'!H142,'Metric Calcs'!N142))</f>
        <v/>
      </c>
      <c r="I146" s="30" t="str">
        <f>IF(OR(I144=1,I144=""),"",IF('Metric Data'!$B$2,'Metric Calcs'!K142,'Metric Calcs'!W142))</f>
        <v/>
      </c>
      <c r="J146" s="30" t="str">
        <f>IF('Metric Data'!$B$2,'Metric Calcs'!N142,"")</f>
        <v/>
      </c>
      <c r="K146" s="30" t="str">
        <f>IF('Metric Data'!$B$2,'Metric Calcs'!W142,"")</f>
        <v/>
      </c>
      <c r="L146" s="37" t="str">
        <f>IF('Metric Data'!$B$2,J146,H146)</f>
        <v/>
      </c>
      <c r="M146" s="112" t="str">
        <f>IF('Metric Data'!$B$2,K146,I146)</f>
        <v/>
      </c>
      <c r="O146" s="32" t="str">
        <f t="shared" si="17"/>
        <v/>
      </c>
      <c r="Q146" s="112">
        <f t="shared" si="14"/>
        <v>-1.1938000000000029</v>
      </c>
      <c r="R146" s="32" t="str">
        <f t="shared" si="16"/>
        <v/>
      </c>
      <c r="S146" s="32" t="str">
        <f t="shared" si="15"/>
        <v/>
      </c>
      <c r="U146" s="32" t="str">
        <f t="shared" si="10"/>
        <v/>
      </c>
      <c r="X146" s="30" t="str" cm="1">
        <f t="array" ref="X146">IF($AP$21="INVERT",R146,IF(X145&gt;=$S$12,"",IF(R145="","",INDEX($R$18:$R$227,$U$17-ROWS($R$18:$R145)))))</f>
        <v/>
      </c>
      <c r="Y146" s="30" t="str">
        <f t="shared" si="11"/>
        <v/>
      </c>
      <c r="Z146" s="30" t="str">
        <f>IF(Z145="","",IF($AP$21="TYP",IF(S145="","",INDEX($S$18:$S$227,$U$17-ROWS($S$18:$S145))),IF($AP$21="INVERT",S146,"")))</f>
        <v/>
      </c>
      <c r="AA146" s="75" t="str">
        <f t="shared" si="12"/>
        <v/>
      </c>
      <c r="AB146" s="75"/>
      <c r="AC146" s="35"/>
      <c r="AD146" s="35"/>
      <c r="AE146" s="35"/>
      <c r="AF146" s="35"/>
      <c r="AG146" s="35"/>
      <c r="AH146" s="35"/>
      <c r="AI146" s="35"/>
      <c r="AJ146" s="35"/>
      <c r="AK146" s="35"/>
      <c r="AL146" s="35"/>
      <c r="AM146" s="35"/>
    </row>
    <row r="147" spans="1:39" x14ac:dyDescent="0.2">
      <c r="A147" s="32" t="str">
        <f t="shared" si="18"/>
        <v/>
      </c>
      <c r="C147" s="36" t="str">
        <f>IF(OR(C146&lt;30,C146=""),"",'Metric Calcs'!C143)</f>
        <v/>
      </c>
      <c r="D147" s="80" t="str">
        <f>IF(C147=0,"",'Metric Calcs'!D143)</f>
        <v/>
      </c>
      <c r="E147" s="80" t="str">
        <f>IF(OR(E145=1,E145=""),"",IF('Metric Data'!$B$2,'Metric Calcs'!E143,'Metric Calcs'!F143))</f>
        <v/>
      </c>
      <c r="F147" s="30" t="str">
        <f>IF(OR(F145=1,F145=""),"",IF('Metric Data'!$B$2,'Metric Calcs'!F143,'Metric Calcs'!H143))</f>
        <v/>
      </c>
      <c r="G147" s="30" t="str">
        <f>IF(OR(G145=1,G145=""),"",IF('Metric Data'!$B$2,'Metric Calcs'!G143,'Metric Calcs'!K143))</f>
        <v/>
      </c>
      <c r="H147" s="30" t="str">
        <f>IF(OR(H145=1,H145=""),"",IF('Metric Data'!$B$2,'Metric Calcs'!H143,'Metric Calcs'!N143))</f>
        <v/>
      </c>
      <c r="I147" s="30" t="str">
        <f>IF(OR(I145=1,I145=""),"",IF('Metric Data'!$B$2,'Metric Calcs'!K143,'Metric Calcs'!W143))</f>
        <v/>
      </c>
      <c r="J147" s="30" t="str">
        <f>IF('Metric Data'!$B$2,'Metric Calcs'!N143,"")</f>
        <v/>
      </c>
      <c r="K147" s="30" t="str">
        <f>IF('Metric Data'!$B$2,'Metric Calcs'!W143,"")</f>
        <v/>
      </c>
      <c r="L147" s="37" t="str">
        <f>IF('Metric Data'!$B$2,J147,H147)</f>
        <v/>
      </c>
      <c r="M147" s="112" t="str">
        <f>IF('Metric Data'!$B$2,K147,I147)</f>
        <v/>
      </c>
      <c r="O147" s="32" t="str">
        <f t="shared" si="17"/>
        <v/>
      </c>
      <c r="Q147" s="112">
        <f t="shared" si="14"/>
        <v>-1.2192000000000029</v>
      </c>
      <c r="R147" s="32" t="str">
        <f t="shared" si="16"/>
        <v/>
      </c>
      <c r="S147" s="32" t="str">
        <f t="shared" si="15"/>
        <v/>
      </c>
      <c r="U147" s="32" t="str">
        <f t="shared" ref="U147:U199" si="19">IF(R147="","",1)</f>
        <v/>
      </c>
      <c r="X147" s="30" t="str" cm="1">
        <f t="array" ref="X147">IF($AP$21="INVERT",R147,IF(X146&gt;=$S$12,"",IF(R146="","",INDEX($R$18:$R$227,$U$17-ROWS($R$18:$R146)))))</f>
        <v/>
      </c>
      <c r="Y147" s="30" t="str">
        <f t="shared" ref="Y147:Y199" si="20">IF(X147="","",$F$9+X147)</f>
        <v/>
      </c>
      <c r="Z147" s="30" t="str">
        <f>IF(Z146="","",IF($AP$21="TYP",IF(S146="","",INDEX($S$18:$S$227,$U$17-ROWS($S$18:$S146))),IF($AP$21="INVERT",S147,"")))</f>
        <v/>
      </c>
      <c r="AA147" s="75" t="str">
        <f t="shared" ref="AA147:AA199" si="21">IF(Z147="","",Z147/10000)</f>
        <v/>
      </c>
      <c r="AB147" s="75"/>
      <c r="AC147" s="35"/>
      <c r="AD147" s="35"/>
      <c r="AE147" s="35"/>
      <c r="AF147" s="35"/>
      <c r="AG147" s="35"/>
      <c r="AH147" s="35"/>
      <c r="AI147" s="35"/>
      <c r="AJ147" s="35"/>
      <c r="AK147" s="35"/>
      <c r="AL147" s="35"/>
      <c r="AM147" s="35"/>
    </row>
    <row r="148" spans="1:39" x14ac:dyDescent="0.2">
      <c r="A148" s="32" t="str">
        <f t="shared" si="18"/>
        <v/>
      </c>
      <c r="C148" s="36" t="str">
        <f>IF(OR(C147&lt;30,C147=""),"",'Metric Calcs'!C144)</f>
        <v/>
      </c>
      <c r="D148" s="80" t="str">
        <f>IF(C148=0,"",'Metric Calcs'!D144)</f>
        <v/>
      </c>
      <c r="E148" s="80" t="str">
        <f>IF(OR(E146=1,E146=""),"",IF('Metric Data'!$B$2,'Metric Calcs'!E144,'Metric Calcs'!F144))</f>
        <v/>
      </c>
      <c r="F148" s="30" t="str">
        <f>IF(OR(F146=1,F146=""),"",IF('Metric Data'!$B$2,'Metric Calcs'!F144,'Metric Calcs'!H144))</f>
        <v/>
      </c>
      <c r="G148" s="30" t="str">
        <f>IF(OR(G146=1,G146=""),"",IF('Metric Data'!$B$2,'Metric Calcs'!G144,'Metric Calcs'!K144))</f>
        <v/>
      </c>
      <c r="H148" s="30" t="str">
        <f>IF(OR(H146=1,H146=""),"",IF('Metric Data'!$B$2,'Metric Calcs'!H144,'Metric Calcs'!N144))</f>
        <v/>
      </c>
      <c r="I148" s="30" t="str">
        <f>IF(OR(I146=1,I146=""),"",IF('Metric Data'!$B$2,'Metric Calcs'!K144,'Metric Calcs'!W144))</f>
        <v/>
      </c>
      <c r="J148" s="30" t="str">
        <f>IF('Metric Data'!$B$2,'Metric Calcs'!N144,"")</f>
        <v/>
      </c>
      <c r="K148" s="30" t="str">
        <f>IF('Metric Data'!$B$2,'Metric Calcs'!W144,"")</f>
        <v/>
      </c>
      <c r="L148" s="37" t="str">
        <f>IF('Metric Data'!$B$2,J148,H148)</f>
        <v/>
      </c>
      <c r="M148" s="112" t="str">
        <f>IF('Metric Data'!$B$2,K148,I148)</f>
        <v/>
      </c>
      <c r="O148" s="32" t="str">
        <f t="shared" si="17"/>
        <v/>
      </c>
      <c r="Q148" s="112">
        <f t="shared" ref="Q148:Q227" si="22">Q147-($U$11)</f>
        <v>-1.244600000000003</v>
      </c>
      <c r="R148" s="32" t="str">
        <f t="shared" si="16"/>
        <v/>
      </c>
      <c r="S148" s="32" t="str">
        <f t="shared" ref="S148:S199" si="23">IF(R148="","",IF(R148=0,L147/$U$11,IF(ISNUMBER(O149),(L148-L149)/(M148-M149),S147)))</f>
        <v/>
      </c>
      <c r="U148" s="32" t="str">
        <f t="shared" si="19"/>
        <v/>
      </c>
      <c r="X148" s="30" t="str" cm="1">
        <f t="array" ref="X148">IF($AP$21="INVERT",R148,IF(X147&gt;=$S$12,"",IF(R147="","",INDEX($R$18:$R$227,$U$17-ROWS($R$18:$R147)))))</f>
        <v/>
      </c>
      <c r="Y148" s="30" t="str">
        <f t="shared" si="20"/>
        <v/>
      </c>
      <c r="Z148" s="30" t="str">
        <f>IF(Z147="","",IF($AP$21="TYP",IF(S147="","",INDEX($S$18:$S$227,$U$17-ROWS($S$18:$S147))),IF($AP$21="INVERT",S148,"")))</f>
        <v/>
      </c>
      <c r="AA148" s="75" t="str">
        <f t="shared" si="21"/>
        <v/>
      </c>
      <c r="AB148" s="75"/>
      <c r="AC148" s="35"/>
      <c r="AD148" s="35"/>
      <c r="AE148" s="35"/>
      <c r="AF148" s="35"/>
      <c r="AG148" s="35"/>
      <c r="AH148" s="35"/>
      <c r="AI148" s="35"/>
      <c r="AJ148" s="35"/>
      <c r="AK148" s="35"/>
      <c r="AL148" s="35"/>
      <c r="AM148" s="35"/>
    </row>
    <row r="149" spans="1:39" x14ac:dyDescent="0.2">
      <c r="A149" s="32" t="str">
        <f t="shared" si="18"/>
        <v/>
      </c>
      <c r="C149" s="36" t="str">
        <f>IF(OR(C148&lt;30,C148=""),"",'Metric Calcs'!C145)</f>
        <v/>
      </c>
      <c r="D149" s="80" t="str">
        <f>IF(C149=0,"",'Metric Calcs'!D145)</f>
        <v/>
      </c>
      <c r="E149" s="80" t="str">
        <f>IF(OR(E147=1,E147=""),"",IF('Metric Data'!$B$2,'Metric Calcs'!E145,'Metric Calcs'!F145))</f>
        <v/>
      </c>
      <c r="F149" s="30" t="str">
        <f>IF(OR(F147=1,F147=""),"",IF('Metric Data'!$B$2,'Metric Calcs'!F145,'Metric Calcs'!H145))</f>
        <v/>
      </c>
      <c r="G149" s="30" t="str">
        <f>IF(OR(G147=1,G147=""),"",IF('Metric Data'!$B$2,'Metric Calcs'!G145,'Metric Calcs'!K145))</f>
        <v/>
      </c>
      <c r="H149" s="30" t="str">
        <f>IF(OR(H147=1,H147=""),"",IF('Metric Data'!$B$2,'Metric Calcs'!H145,'Metric Calcs'!N145))</f>
        <v/>
      </c>
      <c r="I149" s="30" t="str">
        <f>IF(OR(I147=1,I147=""),"",IF('Metric Data'!$B$2,'Metric Calcs'!K145,'Metric Calcs'!W145))</f>
        <v/>
      </c>
      <c r="J149" s="30" t="str">
        <f>IF('Metric Data'!$B$2,'Metric Calcs'!N145,"")</f>
        <v/>
      </c>
      <c r="K149" s="30" t="str">
        <f>IF('Metric Data'!$B$2,'Metric Calcs'!W145,"")</f>
        <v/>
      </c>
      <c r="L149" s="37" t="str">
        <f>IF('Metric Data'!$B$2,J149,H149)</f>
        <v/>
      </c>
      <c r="M149" s="112" t="str">
        <f>IF('Metric Data'!$B$2,K149,I149)</f>
        <v/>
      </c>
      <c r="O149" s="32" t="str">
        <f t="shared" si="17"/>
        <v/>
      </c>
      <c r="Q149" s="112">
        <f t="shared" si="22"/>
        <v>-1.2700000000000031</v>
      </c>
      <c r="R149" s="32" t="str">
        <f t="shared" ref="R149:R199" si="24">IF(AND(C149="",C148=1),0,IF(C149="","",IF(OR(Q149=0,Q149&gt;0),Q149,"")))</f>
        <v/>
      </c>
      <c r="S149" s="32" t="str">
        <f t="shared" si="23"/>
        <v/>
      </c>
      <c r="U149" s="32" t="str">
        <f t="shared" si="19"/>
        <v/>
      </c>
      <c r="X149" s="30" t="str" cm="1">
        <f t="array" ref="X149">IF($AP$21="INVERT",R149,IF(X148&gt;=$S$12,"",IF(R148="","",INDEX($R$18:$R$227,$U$17-ROWS($R$18:$R148)))))</f>
        <v/>
      </c>
      <c r="Y149" s="30" t="str">
        <f t="shared" si="20"/>
        <v/>
      </c>
      <c r="Z149" s="30" t="str">
        <f>IF(Z148="","",IF($AP$21="TYP",IF(S148="","",INDEX($S$18:$S$227,$U$17-ROWS($S$18:$S148))),IF($AP$21="INVERT",S149,"")))</f>
        <v/>
      </c>
      <c r="AA149" s="75" t="str">
        <f t="shared" si="21"/>
        <v/>
      </c>
      <c r="AB149" s="75"/>
      <c r="AC149" s="35"/>
      <c r="AD149" s="35"/>
      <c r="AE149" s="35"/>
      <c r="AF149" s="35"/>
      <c r="AG149" s="35"/>
      <c r="AH149" s="35"/>
      <c r="AI149" s="35"/>
      <c r="AJ149" s="35"/>
      <c r="AK149" s="35"/>
      <c r="AL149" s="35"/>
      <c r="AM149" s="35"/>
    </row>
    <row r="150" spans="1:39" x14ac:dyDescent="0.2">
      <c r="A150" s="32" t="str">
        <f t="shared" si="18"/>
        <v/>
      </c>
      <c r="C150" s="36" t="str">
        <f>IF(OR(C149&lt;30,C149=""),"",'Metric Calcs'!C146)</f>
        <v/>
      </c>
      <c r="D150" s="80" t="str">
        <f>IF(C150=0,"",'Metric Calcs'!D146)</f>
        <v/>
      </c>
      <c r="E150" s="80" t="str">
        <f>IF(OR(E148=1,E148=""),"",IF('Metric Data'!$B$2,'Metric Calcs'!E146,'Metric Calcs'!F146))</f>
        <v/>
      </c>
      <c r="F150" s="30" t="str">
        <f>IF(OR(F148=1,F148=""),"",IF('Metric Data'!$B$2,'Metric Calcs'!F146,'Metric Calcs'!H146))</f>
        <v/>
      </c>
      <c r="G150" s="30" t="str">
        <f>IF(OR(G148=1,G148=""),"",IF('Metric Data'!$B$2,'Metric Calcs'!G146,'Metric Calcs'!K146))</f>
        <v/>
      </c>
      <c r="H150" s="30" t="str">
        <f>IF(OR(H148=1,H148=""),"",IF('Metric Data'!$B$2,'Metric Calcs'!H146,'Metric Calcs'!N146))</f>
        <v/>
      </c>
      <c r="I150" s="30" t="str">
        <f>IF(OR(I148=1,I148=""),"",IF('Metric Data'!$B$2,'Metric Calcs'!K146,'Metric Calcs'!W146))</f>
        <v/>
      </c>
      <c r="J150" s="30" t="str">
        <f>IF('Metric Data'!$B$2,'Metric Calcs'!N146,"")</f>
        <v/>
      </c>
      <c r="K150" s="30" t="str">
        <f>IF('Metric Data'!$B$2,'Metric Calcs'!W146,"")</f>
        <v/>
      </c>
      <c r="L150" s="37" t="str">
        <f>IF('Metric Data'!$B$2,J150,H150)</f>
        <v/>
      </c>
      <c r="M150" s="112" t="str">
        <f>IF('Metric Data'!$B$2,K150,I150)</f>
        <v/>
      </c>
      <c r="O150" s="32" t="str">
        <f t="shared" si="17"/>
        <v/>
      </c>
      <c r="Q150" s="112">
        <f t="shared" si="22"/>
        <v>-1.2954000000000032</v>
      </c>
      <c r="R150" s="32" t="str">
        <f t="shared" si="24"/>
        <v/>
      </c>
      <c r="S150" s="32" t="str">
        <f t="shared" si="23"/>
        <v/>
      </c>
      <c r="U150" s="32" t="str">
        <f t="shared" si="19"/>
        <v/>
      </c>
      <c r="X150" s="30" t="str" cm="1">
        <f t="array" ref="X150">IF($AP$21="INVERT",R150,IF(X149&gt;=$S$12,"",IF(R149="","",INDEX($R$18:$R$227,$U$17-ROWS($R$18:$R149)))))</f>
        <v/>
      </c>
      <c r="Y150" s="30" t="str">
        <f t="shared" si="20"/>
        <v/>
      </c>
      <c r="Z150" s="30" t="str">
        <f>IF(Z149="","",IF($AP$21="TYP",IF(S149="","",INDEX($S$18:$S$227,$U$17-ROWS($S$18:$S149))),IF($AP$21="INVERT",S150,"")))</f>
        <v/>
      </c>
      <c r="AA150" s="75" t="str">
        <f t="shared" si="21"/>
        <v/>
      </c>
      <c r="AB150" s="75"/>
      <c r="AC150" s="35"/>
      <c r="AD150" s="35"/>
      <c r="AE150" s="35"/>
      <c r="AF150" s="35"/>
      <c r="AG150" s="35"/>
      <c r="AH150" s="35"/>
      <c r="AI150" s="35"/>
      <c r="AJ150" s="35"/>
      <c r="AK150" s="35"/>
      <c r="AL150" s="35"/>
      <c r="AM150" s="35"/>
    </row>
    <row r="151" spans="1:39" x14ac:dyDescent="0.2">
      <c r="A151" s="32" t="str">
        <f t="shared" si="18"/>
        <v/>
      </c>
      <c r="C151" s="36" t="str">
        <f>IF(OR(C150&lt;30,C150=""),"",'Metric Calcs'!C147)</f>
        <v/>
      </c>
      <c r="D151" s="80" t="str">
        <f>IF(C151=0,"",'Metric Calcs'!D147)</f>
        <v/>
      </c>
      <c r="E151" s="80" t="str">
        <f>IF(OR(E149=1,E149=""),"",IF('Metric Data'!$B$2,'Metric Calcs'!E147,'Metric Calcs'!F147))</f>
        <v/>
      </c>
      <c r="F151" s="30" t="str">
        <f>IF(OR(F149=1,F149=""),"",IF('Metric Data'!$B$2,'Metric Calcs'!F147,'Metric Calcs'!H147))</f>
        <v/>
      </c>
      <c r="G151" s="30" t="str">
        <f>IF(OR(G149=1,G149=""),"",IF('Metric Data'!$B$2,'Metric Calcs'!G147,'Metric Calcs'!K147))</f>
        <v/>
      </c>
      <c r="H151" s="30" t="str">
        <f>IF(OR(H149=1,H149=""),"",IF('Metric Data'!$B$2,'Metric Calcs'!H147,'Metric Calcs'!N147))</f>
        <v/>
      </c>
      <c r="I151" s="30" t="str">
        <f>IF(OR(I149=1,I149=""),"",IF('Metric Data'!$B$2,'Metric Calcs'!K147,'Metric Calcs'!W147))</f>
        <v/>
      </c>
      <c r="J151" s="30" t="str">
        <f>IF('Metric Data'!$B$2,'Metric Calcs'!N147,"")</f>
        <v/>
      </c>
      <c r="K151" s="30" t="str">
        <f>IF('Metric Data'!$B$2,'Metric Calcs'!W147,"")</f>
        <v/>
      </c>
      <c r="L151" s="37" t="str">
        <f>IF('Metric Data'!$B$2,J151,H151)</f>
        <v/>
      </c>
      <c r="M151" s="112" t="str">
        <f>IF('Metric Data'!$B$2,K151,I151)</f>
        <v/>
      </c>
      <c r="O151" s="32" t="str">
        <f t="shared" si="17"/>
        <v/>
      </c>
      <c r="Q151" s="112">
        <f t="shared" si="22"/>
        <v>-1.3208000000000033</v>
      </c>
      <c r="R151" s="32" t="str">
        <f t="shared" si="24"/>
        <v/>
      </c>
      <c r="S151" s="32" t="str">
        <f t="shared" si="23"/>
        <v/>
      </c>
      <c r="U151" s="32" t="str">
        <f t="shared" si="19"/>
        <v/>
      </c>
      <c r="X151" s="30" t="str" cm="1">
        <f t="array" ref="X151">IF($AP$21="INVERT",R151,IF(X150&gt;=$S$12,"",IF(R150="","",INDEX($R$18:$R$227,$U$17-ROWS($R$18:$R150)))))</f>
        <v/>
      </c>
      <c r="Y151" s="30" t="str">
        <f t="shared" si="20"/>
        <v/>
      </c>
      <c r="Z151" s="30" t="str">
        <f>IF(Z150="","",IF($AP$21="TYP",IF(S150="","",INDEX($S$18:$S$227,$U$17-ROWS($S$18:$S150))),IF($AP$21="INVERT",S151,"")))</f>
        <v/>
      </c>
      <c r="AA151" s="75" t="str">
        <f t="shared" si="21"/>
        <v/>
      </c>
      <c r="AB151" s="75"/>
      <c r="AC151" s="35"/>
      <c r="AD151" s="35"/>
      <c r="AE151" s="35"/>
      <c r="AF151" s="35"/>
      <c r="AG151" s="35"/>
      <c r="AH151" s="35"/>
      <c r="AI151" s="35"/>
      <c r="AJ151" s="35"/>
      <c r="AK151" s="35"/>
      <c r="AL151" s="35"/>
      <c r="AM151" s="35"/>
    </row>
    <row r="152" spans="1:39" x14ac:dyDescent="0.2">
      <c r="A152" s="32" t="str">
        <f t="shared" si="18"/>
        <v/>
      </c>
      <c r="C152" s="36" t="str">
        <f>IF(OR(C151&lt;30,C151=""),"",'Metric Calcs'!C148)</f>
        <v/>
      </c>
      <c r="D152" s="80" t="str">
        <f>IF(C152=0,"",'Metric Calcs'!D148)</f>
        <v/>
      </c>
      <c r="E152" s="80" t="str">
        <f>IF(OR(E150=1,E150=""),"",IF('Metric Data'!$B$2,'Metric Calcs'!E148,'Metric Calcs'!F148))</f>
        <v/>
      </c>
      <c r="F152" s="30" t="str">
        <f>IF(OR(F150=1,F150=""),"",IF('Metric Data'!$B$2,'Metric Calcs'!F148,'Metric Calcs'!H148))</f>
        <v/>
      </c>
      <c r="G152" s="30" t="str">
        <f>IF(OR(G150=1,G150=""),"",IF('Metric Data'!$B$2,'Metric Calcs'!G148,'Metric Calcs'!K148))</f>
        <v/>
      </c>
      <c r="H152" s="30" t="str">
        <f>IF(OR(H150=1,H150=""),"",IF('Metric Data'!$B$2,'Metric Calcs'!H148,'Metric Calcs'!N148))</f>
        <v/>
      </c>
      <c r="I152" s="30" t="str">
        <f>IF(OR(I150=1,I150=""),"",IF('Metric Data'!$B$2,'Metric Calcs'!K148,'Metric Calcs'!W148))</f>
        <v/>
      </c>
      <c r="J152" s="30" t="str">
        <f>IF('Metric Data'!$B$2,'Metric Calcs'!N148,"")</f>
        <v/>
      </c>
      <c r="K152" s="30" t="str">
        <f>IF('Metric Data'!$B$2,'Metric Calcs'!W148,"")</f>
        <v/>
      </c>
      <c r="L152" s="37" t="str">
        <f>IF('Metric Data'!$B$2,J152,H152)</f>
        <v/>
      </c>
      <c r="M152" s="112" t="str">
        <f>IF('Metric Data'!$B$2,K152,I152)</f>
        <v/>
      </c>
      <c r="O152" s="32" t="str">
        <f t="shared" si="17"/>
        <v/>
      </c>
      <c r="Q152" s="112">
        <f t="shared" si="22"/>
        <v>-1.3462000000000034</v>
      </c>
      <c r="R152" s="32" t="str">
        <f t="shared" si="24"/>
        <v/>
      </c>
      <c r="S152" s="32" t="str">
        <f t="shared" si="23"/>
        <v/>
      </c>
      <c r="U152" s="32" t="str">
        <f t="shared" si="19"/>
        <v/>
      </c>
      <c r="X152" s="30" t="str" cm="1">
        <f t="array" ref="X152">IF($AP$21="INVERT",R152,IF(X151&gt;=$S$12,"",IF(R151="","",INDEX($R$18:$R$227,$U$17-ROWS($R$18:$R151)))))</f>
        <v/>
      </c>
      <c r="Y152" s="30" t="str">
        <f t="shared" si="20"/>
        <v/>
      </c>
      <c r="Z152" s="30" t="str">
        <f>IF(Z151="","",IF($AP$21="TYP",IF(S151="","",INDEX($S$18:$S$227,$U$17-ROWS($S$18:$S151))),IF($AP$21="INVERT",S152,"")))</f>
        <v/>
      </c>
      <c r="AA152" s="75" t="str">
        <f t="shared" si="21"/>
        <v/>
      </c>
      <c r="AB152" s="75"/>
      <c r="AC152" s="35"/>
      <c r="AD152" s="35"/>
      <c r="AE152" s="35"/>
      <c r="AF152" s="35"/>
      <c r="AG152" s="35"/>
      <c r="AH152" s="35"/>
      <c r="AI152" s="35"/>
      <c r="AJ152" s="35"/>
      <c r="AK152" s="35"/>
      <c r="AL152" s="35"/>
      <c r="AM152" s="35"/>
    </row>
    <row r="153" spans="1:39" x14ac:dyDescent="0.2">
      <c r="A153" s="32" t="str">
        <f t="shared" si="18"/>
        <v/>
      </c>
      <c r="C153" s="36" t="str">
        <f>IF(OR(C152&lt;30,C152=""),"",'Metric Calcs'!C149)</f>
        <v/>
      </c>
      <c r="D153" s="80" t="str">
        <f>IF(C153=0,"",'Metric Calcs'!D149)</f>
        <v/>
      </c>
      <c r="E153" s="80" t="str">
        <f>IF(OR(E151=1,E151=""),"",IF('Metric Data'!$B$2,'Metric Calcs'!E149,'Metric Calcs'!F149))</f>
        <v/>
      </c>
      <c r="F153" s="30" t="str">
        <f>IF(OR(F151=1,F151=""),"",IF('Metric Data'!$B$2,'Metric Calcs'!F149,'Metric Calcs'!H149))</f>
        <v/>
      </c>
      <c r="G153" s="30" t="str">
        <f>IF(OR(G151=1,G151=""),"",IF('Metric Data'!$B$2,'Metric Calcs'!G149,'Metric Calcs'!K149))</f>
        <v/>
      </c>
      <c r="H153" s="30" t="str">
        <f>IF(OR(H151=1,H151=""),"",IF('Metric Data'!$B$2,'Metric Calcs'!H149,'Metric Calcs'!N149))</f>
        <v/>
      </c>
      <c r="I153" s="30" t="str">
        <f>IF(OR(I151=1,I151=""),"",IF('Metric Data'!$B$2,'Metric Calcs'!K149,'Metric Calcs'!W149))</f>
        <v/>
      </c>
      <c r="J153" s="30" t="str">
        <f>IF('Metric Data'!$B$2,'Metric Calcs'!N149,"")</f>
        <v/>
      </c>
      <c r="K153" s="30" t="str">
        <f>IF('Metric Data'!$B$2,'Metric Calcs'!W149,"")</f>
        <v/>
      </c>
      <c r="L153" s="37" t="str">
        <f>IF('Metric Data'!$B$2,J153,H153)</f>
        <v/>
      </c>
      <c r="M153" s="112" t="str">
        <f>IF('Metric Data'!$B$2,K153,I153)</f>
        <v/>
      </c>
      <c r="O153" s="32" t="str">
        <f t="shared" si="17"/>
        <v/>
      </c>
      <c r="Q153" s="112">
        <f t="shared" si="22"/>
        <v>-1.3716000000000035</v>
      </c>
      <c r="R153" s="32" t="str">
        <f t="shared" si="24"/>
        <v/>
      </c>
      <c r="S153" s="32" t="str">
        <f t="shared" si="23"/>
        <v/>
      </c>
      <c r="U153" s="32" t="str">
        <f t="shared" si="19"/>
        <v/>
      </c>
      <c r="X153" s="30" t="str" cm="1">
        <f t="array" ref="X153">IF($AP$21="INVERT",R153,IF(X152&gt;=$S$12,"",IF(R152="","",INDEX($R$18:$R$227,$U$17-ROWS($R$18:$R152)))))</f>
        <v/>
      </c>
      <c r="Y153" s="30" t="str">
        <f t="shared" si="20"/>
        <v/>
      </c>
      <c r="Z153" s="30" t="str">
        <f>IF(Z152="","",IF($AP$21="TYP",IF(S152="","",INDEX($S$18:$S$227,$U$17-ROWS($S$18:$S152))),IF($AP$21="INVERT",S153,"")))</f>
        <v/>
      </c>
      <c r="AA153" s="75" t="str">
        <f t="shared" si="21"/>
        <v/>
      </c>
      <c r="AB153" s="75"/>
      <c r="AC153" s="35"/>
      <c r="AD153" s="35"/>
      <c r="AE153" s="35"/>
      <c r="AF153" s="35"/>
      <c r="AG153" s="35"/>
      <c r="AH153" s="35"/>
      <c r="AI153" s="35"/>
      <c r="AJ153" s="35"/>
      <c r="AK153" s="35"/>
      <c r="AL153" s="35"/>
      <c r="AM153" s="35"/>
    </row>
    <row r="154" spans="1:39" x14ac:dyDescent="0.2">
      <c r="A154" s="32" t="str">
        <f t="shared" si="18"/>
        <v/>
      </c>
      <c r="C154" s="36" t="str">
        <f>IF(OR(C153&lt;30,C153=""),"",'Metric Calcs'!C150)</f>
        <v/>
      </c>
      <c r="D154" s="80" t="str">
        <f>IF(C154=0,"",'Metric Calcs'!D150)</f>
        <v/>
      </c>
      <c r="E154" s="80" t="str">
        <f>IF(OR(E152=1,E152=""),"",IF('Metric Data'!$B$2,'Metric Calcs'!E150,'Metric Calcs'!F150))</f>
        <v/>
      </c>
      <c r="F154" s="30" t="str">
        <f>IF(OR(F152=1,F152=""),"",IF('Metric Data'!$B$2,'Metric Calcs'!F150,'Metric Calcs'!H150))</f>
        <v/>
      </c>
      <c r="G154" s="30" t="str">
        <f>IF(OR(G152=1,G152=""),"",IF('Metric Data'!$B$2,'Metric Calcs'!G150,'Metric Calcs'!K150))</f>
        <v/>
      </c>
      <c r="H154" s="30" t="str">
        <f>IF(OR(H152=1,H152=""),"",IF('Metric Data'!$B$2,'Metric Calcs'!H150,'Metric Calcs'!N150))</f>
        <v/>
      </c>
      <c r="I154" s="30" t="str">
        <f>IF(OR(I152=1,I152=""),"",IF('Metric Data'!$B$2,'Metric Calcs'!K150,'Metric Calcs'!W150))</f>
        <v/>
      </c>
      <c r="J154" s="30" t="str">
        <f>IF('Metric Data'!$B$2,'Metric Calcs'!N150,"")</f>
        <v/>
      </c>
      <c r="K154" s="30" t="str">
        <f>IF('Metric Data'!$B$2,'Metric Calcs'!W150,"")</f>
        <v/>
      </c>
      <c r="L154" s="37" t="str">
        <f>IF('Metric Data'!$B$2,J154,H154)</f>
        <v/>
      </c>
      <c r="M154" s="112" t="str">
        <f>IF('Metric Data'!$B$2,K154,I154)</f>
        <v/>
      </c>
      <c r="O154" s="32" t="str">
        <f t="shared" si="17"/>
        <v/>
      </c>
      <c r="Q154" s="112">
        <f t="shared" si="22"/>
        <v>-1.3970000000000036</v>
      </c>
      <c r="R154" s="32" t="str">
        <f t="shared" si="24"/>
        <v/>
      </c>
      <c r="S154" s="32" t="str">
        <f t="shared" si="23"/>
        <v/>
      </c>
      <c r="U154" s="32" t="str">
        <f t="shared" si="19"/>
        <v/>
      </c>
      <c r="X154" s="30" t="str" cm="1">
        <f t="array" ref="X154">IF($AP$21="INVERT",R154,IF(X153&gt;=$S$12,"",IF(R153="","",INDEX($R$18:$R$227,$U$17-ROWS($R$18:$R153)))))</f>
        <v/>
      </c>
      <c r="Y154" s="30" t="str">
        <f t="shared" si="20"/>
        <v/>
      </c>
      <c r="Z154" s="30" t="str">
        <f>IF(Z153="","",IF($AP$21="TYP",IF(S153="","",INDEX($S$18:$S$227,$U$17-ROWS($S$18:$S153))),IF($AP$21="INVERT",S154,"")))</f>
        <v/>
      </c>
      <c r="AA154" s="75" t="str">
        <f t="shared" si="21"/>
        <v/>
      </c>
      <c r="AB154" s="75"/>
      <c r="AC154" s="35"/>
      <c r="AD154" s="35"/>
      <c r="AE154" s="35"/>
      <c r="AF154" s="35"/>
      <c r="AG154" s="35"/>
      <c r="AH154" s="35"/>
      <c r="AI154" s="35"/>
      <c r="AJ154" s="35"/>
      <c r="AK154" s="35"/>
      <c r="AL154" s="35"/>
      <c r="AM154" s="35"/>
    </row>
    <row r="155" spans="1:39" x14ac:dyDescent="0.2">
      <c r="A155" s="32" t="str">
        <f t="shared" si="18"/>
        <v/>
      </c>
      <c r="C155" s="36" t="str">
        <f>IF(OR(C154&lt;30,C154=""),"",'Metric Calcs'!C151)</f>
        <v/>
      </c>
      <c r="D155" s="80" t="str">
        <f>IF(C155=0,"",'Metric Calcs'!D151)</f>
        <v/>
      </c>
      <c r="E155" s="80" t="str">
        <f>IF(OR(E153=1,E153=""),"",IF('Metric Data'!$B$2,'Metric Calcs'!E151,'Metric Calcs'!F151))</f>
        <v/>
      </c>
      <c r="F155" s="30" t="str">
        <f>IF(OR(F153=1,F153=""),"",IF('Metric Data'!$B$2,'Metric Calcs'!F151,'Metric Calcs'!H151))</f>
        <v/>
      </c>
      <c r="G155" s="30" t="str">
        <f>IF(OR(G153=1,G153=""),"",IF('Metric Data'!$B$2,'Metric Calcs'!G151,'Metric Calcs'!K151))</f>
        <v/>
      </c>
      <c r="H155" s="30" t="str">
        <f>IF(OR(H153=1,H153=""),"",IF('Metric Data'!$B$2,'Metric Calcs'!H151,'Metric Calcs'!N151))</f>
        <v/>
      </c>
      <c r="I155" s="30" t="str">
        <f>IF(OR(I153=1,I153=""),"",IF('Metric Data'!$B$2,'Metric Calcs'!K151,'Metric Calcs'!W151))</f>
        <v/>
      </c>
      <c r="J155" s="30" t="str">
        <f>IF('Metric Data'!$B$2,'Metric Calcs'!N151,"")</f>
        <v/>
      </c>
      <c r="K155" s="30" t="str">
        <f>IF('Metric Data'!$B$2,'Metric Calcs'!W151,"")</f>
        <v/>
      </c>
      <c r="L155" s="37" t="str">
        <f>IF('Metric Data'!$B$2,J155,H155)</f>
        <v/>
      </c>
      <c r="M155" s="112" t="str">
        <f>IF('Metric Data'!$B$2,K155,I155)</f>
        <v/>
      </c>
      <c r="O155" s="32" t="str">
        <f t="shared" si="17"/>
        <v/>
      </c>
      <c r="Q155" s="112">
        <f t="shared" si="22"/>
        <v>-1.4224000000000037</v>
      </c>
      <c r="R155" s="32" t="str">
        <f t="shared" si="24"/>
        <v/>
      </c>
      <c r="S155" s="32" t="str">
        <f t="shared" si="23"/>
        <v/>
      </c>
      <c r="U155" s="32" t="str">
        <f t="shared" si="19"/>
        <v/>
      </c>
      <c r="X155" s="30" t="str" cm="1">
        <f t="array" ref="X155">IF($AP$21="INVERT",R155,IF(X154&gt;=$S$12,"",IF(R154="","",INDEX($R$18:$R$227,$U$17-ROWS($R$18:$R154)))))</f>
        <v/>
      </c>
      <c r="Y155" s="30" t="str">
        <f t="shared" si="20"/>
        <v/>
      </c>
      <c r="Z155" s="30" t="str">
        <f>IF(Z154="","",IF($AP$21="TYP",IF(S154="","",INDEX($S$18:$S$227,$U$17-ROWS($S$18:$S154))),IF($AP$21="INVERT",S155,"")))</f>
        <v/>
      </c>
      <c r="AA155" s="75" t="str">
        <f t="shared" si="21"/>
        <v/>
      </c>
      <c r="AB155" s="75"/>
      <c r="AC155" s="35"/>
      <c r="AD155" s="35"/>
      <c r="AE155" s="35"/>
      <c r="AF155" s="35"/>
      <c r="AG155" s="35"/>
      <c r="AH155" s="35"/>
      <c r="AI155" s="35"/>
      <c r="AJ155" s="35"/>
      <c r="AK155" s="35"/>
      <c r="AL155" s="35"/>
      <c r="AM155" s="35"/>
    </row>
    <row r="156" spans="1:39" x14ac:dyDescent="0.2">
      <c r="A156" s="32" t="str">
        <f t="shared" si="18"/>
        <v/>
      </c>
      <c r="C156" s="36" t="str">
        <f>IF(OR(C155&lt;30,C155=""),"",'Metric Calcs'!C152)</f>
        <v/>
      </c>
      <c r="D156" s="80" t="str">
        <f>IF(C156=0,"",'Metric Calcs'!D152)</f>
        <v/>
      </c>
      <c r="E156" s="80" t="str">
        <f>IF(OR(E154=1,E154=""),"",IF('Metric Data'!$B$2,'Metric Calcs'!E152,'Metric Calcs'!F152))</f>
        <v/>
      </c>
      <c r="F156" s="30" t="str">
        <f>IF(OR(F154=1,F154=""),"",IF('Metric Data'!$B$2,'Metric Calcs'!F152,'Metric Calcs'!H152))</f>
        <v/>
      </c>
      <c r="G156" s="30" t="str">
        <f>IF(OR(G154=1,G154=""),"",IF('Metric Data'!$B$2,'Metric Calcs'!G152,'Metric Calcs'!K152))</f>
        <v/>
      </c>
      <c r="H156" s="30" t="str">
        <f>IF(OR(H154=1,H154=""),"",IF('Metric Data'!$B$2,'Metric Calcs'!H152,'Metric Calcs'!N152))</f>
        <v/>
      </c>
      <c r="I156" s="30" t="str">
        <f>IF(OR(I154=1,I154=""),"",IF('Metric Data'!$B$2,'Metric Calcs'!K152,'Metric Calcs'!W152))</f>
        <v/>
      </c>
      <c r="J156" s="30" t="str">
        <f>IF('Metric Data'!$B$2,'Metric Calcs'!N152,"")</f>
        <v/>
      </c>
      <c r="K156" s="30" t="str">
        <f>IF('Metric Data'!$B$2,'Metric Calcs'!W152,"")</f>
        <v/>
      </c>
      <c r="L156" s="37" t="str">
        <f>IF('Metric Data'!$B$2,J156,H156)</f>
        <v/>
      </c>
      <c r="M156" s="112" t="str">
        <f>IF('Metric Data'!$B$2,K156,I156)</f>
        <v/>
      </c>
      <c r="O156" s="32" t="str">
        <f t="shared" si="17"/>
        <v/>
      </c>
      <c r="Q156" s="112">
        <f t="shared" si="22"/>
        <v>-1.4478000000000038</v>
      </c>
      <c r="R156" s="32" t="str">
        <f t="shared" si="24"/>
        <v/>
      </c>
      <c r="S156" s="32" t="str">
        <f t="shared" si="23"/>
        <v/>
      </c>
      <c r="U156" s="32" t="str">
        <f t="shared" si="19"/>
        <v/>
      </c>
      <c r="X156" s="30" t="str" cm="1">
        <f t="array" ref="X156">IF($AP$21="INVERT",R156,IF(X155&gt;=$S$12,"",IF(R155="","",INDEX($R$18:$R$227,$U$17-ROWS($R$18:$R155)))))</f>
        <v/>
      </c>
      <c r="Y156" s="30" t="str">
        <f t="shared" si="20"/>
        <v/>
      </c>
      <c r="Z156" s="30" t="str">
        <f>IF(Z155="","",IF($AP$21="TYP",IF(S155="","",INDEX($S$18:$S$227,$U$17-ROWS($S$18:$S155))),IF($AP$21="INVERT",S156,"")))</f>
        <v/>
      </c>
      <c r="AA156" s="75" t="str">
        <f t="shared" si="21"/>
        <v/>
      </c>
      <c r="AB156" s="75"/>
      <c r="AC156" s="35"/>
      <c r="AD156" s="35"/>
      <c r="AE156" s="35"/>
      <c r="AF156" s="35"/>
      <c r="AG156" s="35"/>
      <c r="AH156" s="35"/>
      <c r="AI156" s="35"/>
      <c r="AJ156" s="35"/>
      <c r="AK156" s="35"/>
      <c r="AL156" s="35"/>
      <c r="AM156" s="35"/>
    </row>
    <row r="157" spans="1:39" x14ac:dyDescent="0.2">
      <c r="A157" s="32" t="str">
        <f t="shared" si="18"/>
        <v/>
      </c>
      <c r="C157" s="36" t="str">
        <f>IF(OR(C156&lt;30,C156=""),"",'Metric Calcs'!C153)</f>
        <v/>
      </c>
      <c r="D157" s="80" t="str">
        <f>IF(C157=0,"",'Metric Calcs'!D153)</f>
        <v/>
      </c>
      <c r="E157" s="80" t="str">
        <f>IF(OR(E155=1,E155=""),"",IF('Metric Data'!$B$2,'Metric Calcs'!E153,'Metric Calcs'!F153))</f>
        <v/>
      </c>
      <c r="F157" s="30" t="str">
        <f>IF(OR(F155=1,F155=""),"",IF('Metric Data'!$B$2,'Metric Calcs'!F153,'Metric Calcs'!H153))</f>
        <v/>
      </c>
      <c r="G157" s="30" t="str">
        <f>IF(OR(G155=1,G155=""),"",IF('Metric Data'!$B$2,'Metric Calcs'!G153,'Metric Calcs'!K153))</f>
        <v/>
      </c>
      <c r="H157" s="30" t="str">
        <f>IF(OR(H155=1,H155=""),"",IF('Metric Data'!$B$2,'Metric Calcs'!H153,'Metric Calcs'!N153))</f>
        <v/>
      </c>
      <c r="I157" s="30" t="str">
        <f>IF(OR(I155=1,I155=""),"",IF('Metric Data'!$B$2,'Metric Calcs'!K153,'Metric Calcs'!W153))</f>
        <v/>
      </c>
      <c r="J157" s="30" t="str">
        <f>IF('Metric Data'!$B$2,'Metric Calcs'!N153,"")</f>
        <v/>
      </c>
      <c r="K157" s="30" t="str">
        <f>IF('Metric Data'!$B$2,'Metric Calcs'!W153,"")</f>
        <v/>
      </c>
      <c r="L157" s="37" t="str">
        <f>IF('Metric Data'!$B$2,J157,H157)</f>
        <v/>
      </c>
      <c r="M157" s="112" t="str">
        <f>IF('Metric Data'!$B$2,K157,I157)</f>
        <v/>
      </c>
      <c r="O157" s="32" t="str">
        <f t="shared" si="17"/>
        <v/>
      </c>
      <c r="Q157" s="112">
        <f t="shared" si="22"/>
        <v>-1.4732000000000038</v>
      </c>
      <c r="R157" s="32" t="str">
        <f t="shared" si="24"/>
        <v/>
      </c>
      <c r="S157" s="32" t="str">
        <f t="shared" si="23"/>
        <v/>
      </c>
      <c r="U157" s="32" t="str">
        <f t="shared" si="19"/>
        <v/>
      </c>
      <c r="X157" s="30" t="str" cm="1">
        <f t="array" ref="X157">IF($AP$21="INVERT",R157,IF(X156&gt;=$S$12,"",IF(R156="","",INDEX($R$18:$R$227,$U$17-ROWS($R$18:$R156)))))</f>
        <v/>
      </c>
      <c r="Y157" s="30" t="str">
        <f t="shared" si="20"/>
        <v/>
      </c>
      <c r="Z157" s="30" t="str">
        <f>IF(Z156="","",IF($AP$21="TYP",IF(S156="","",INDEX($S$18:$S$227,$U$17-ROWS($S$18:$S156))),IF($AP$21="INVERT",S157,"")))</f>
        <v/>
      </c>
      <c r="AA157" s="75" t="str">
        <f t="shared" si="21"/>
        <v/>
      </c>
      <c r="AB157" s="75"/>
      <c r="AC157" s="35"/>
      <c r="AD157" s="35"/>
      <c r="AE157" s="35"/>
      <c r="AF157" s="35"/>
      <c r="AG157" s="35"/>
      <c r="AH157" s="35"/>
      <c r="AI157" s="35"/>
      <c r="AJ157" s="35"/>
      <c r="AK157" s="35"/>
      <c r="AL157" s="35"/>
      <c r="AM157" s="35"/>
    </row>
    <row r="158" spans="1:39" x14ac:dyDescent="0.2">
      <c r="A158" s="32" t="str">
        <f t="shared" si="18"/>
        <v/>
      </c>
      <c r="C158" s="36" t="str">
        <f>IF(OR(C157&lt;30,C157=""),"",'Metric Calcs'!C154)</f>
        <v/>
      </c>
      <c r="D158" s="80" t="str">
        <f>IF(C158=0,"",'Metric Calcs'!D154)</f>
        <v/>
      </c>
      <c r="E158" s="80" t="str">
        <f>IF(OR(E156=1,E156=""),"",IF('Metric Data'!$B$2,'Metric Calcs'!E154,'Metric Calcs'!F154))</f>
        <v/>
      </c>
      <c r="F158" s="30" t="str">
        <f>IF(OR(F156=1,F156=""),"",IF('Metric Data'!$B$2,'Metric Calcs'!F154,'Metric Calcs'!H154))</f>
        <v/>
      </c>
      <c r="G158" s="30" t="str">
        <f>IF(OR(G156=1,G156=""),"",IF('Metric Data'!$B$2,'Metric Calcs'!G154,'Metric Calcs'!K154))</f>
        <v/>
      </c>
      <c r="H158" s="30" t="str">
        <f>IF(OR(H156=1,H156=""),"",IF('Metric Data'!$B$2,'Metric Calcs'!H154,'Metric Calcs'!N154))</f>
        <v/>
      </c>
      <c r="I158" s="30" t="str">
        <f>IF(OR(I156=1,I156=""),"",IF('Metric Data'!$B$2,'Metric Calcs'!K154,'Metric Calcs'!W154))</f>
        <v/>
      </c>
      <c r="J158" s="30" t="str">
        <f>IF('Metric Data'!$B$2,'Metric Calcs'!N154,"")</f>
        <v/>
      </c>
      <c r="K158" s="30" t="str">
        <f>IF('Metric Data'!$B$2,'Metric Calcs'!W154,"")</f>
        <v/>
      </c>
      <c r="L158" s="37" t="str">
        <f>IF('Metric Data'!$B$2,J158,H158)</f>
        <v/>
      </c>
      <c r="M158" s="112" t="str">
        <f>IF('Metric Data'!$B$2,K158,I158)</f>
        <v/>
      </c>
      <c r="O158" s="32" t="str">
        <f t="shared" si="17"/>
        <v/>
      </c>
      <c r="Q158" s="112">
        <f t="shared" si="22"/>
        <v>-1.4986000000000039</v>
      </c>
      <c r="R158" s="32" t="str">
        <f t="shared" si="24"/>
        <v/>
      </c>
      <c r="S158" s="32" t="str">
        <f t="shared" si="23"/>
        <v/>
      </c>
      <c r="U158" s="32" t="str">
        <f t="shared" si="19"/>
        <v/>
      </c>
      <c r="X158" s="30" t="str" cm="1">
        <f t="array" ref="X158">IF($AP$21="INVERT",R158,IF(X157&gt;=$S$12,"",IF(R157="","",INDEX($R$18:$R$227,$U$17-ROWS($R$18:$R157)))))</f>
        <v/>
      </c>
      <c r="Y158" s="30" t="str">
        <f t="shared" si="20"/>
        <v/>
      </c>
      <c r="Z158" s="30" t="str">
        <f>IF(Z157="","",IF($AP$21="TYP",IF(S157="","",INDEX($S$18:$S$227,$U$17-ROWS($S$18:$S157))),IF($AP$21="INVERT",S158,"")))</f>
        <v/>
      </c>
      <c r="AA158" s="75" t="str">
        <f t="shared" si="21"/>
        <v/>
      </c>
      <c r="AB158" s="75"/>
      <c r="AC158" s="35"/>
      <c r="AD158" s="35"/>
      <c r="AE158" s="35"/>
      <c r="AF158" s="35"/>
      <c r="AG158" s="35"/>
      <c r="AH158" s="35"/>
      <c r="AI158" s="35"/>
      <c r="AJ158" s="35"/>
      <c r="AK158" s="35"/>
      <c r="AL158" s="35"/>
      <c r="AM158" s="35"/>
    </row>
    <row r="159" spans="1:39" x14ac:dyDescent="0.2">
      <c r="A159" s="32" t="str">
        <f t="shared" si="18"/>
        <v/>
      </c>
      <c r="C159" s="36" t="str">
        <f>IF(OR(C158&lt;30,C158=""),"",'Metric Calcs'!C155)</f>
        <v/>
      </c>
      <c r="D159" s="80" t="str">
        <f>IF(C159=0,"",'Metric Calcs'!D155)</f>
        <v/>
      </c>
      <c r="E159" s="80" t="str">
        <f>IF(OR(E157=1,E157=""),"",IF('Metric Data'!$B$2,'Metric Calcs'!E155,'Metric Calcs'!F155))</f>
        <v/>
      </c>
      <c r="F159" s="30" t="str">
        <f>IF(OR(F157=1,F157=""),"",IF('Metric Data'!$B$2,'Metric Calcs'!F155,'Metric Calcs'!H155))</f>
        <v/>
      </c>
      <c r="G159" s="30" t="str">
        <f>IF(OR(G157=1,G157=""),"",IF('Metric Data'!$B$2,'Metric Calcs'!G155,'Metric Calcs'!K155))</f>
        <v/>
      </c>
      <c r="H159" s="30" t="str">
        <f>IF(OR(H157=1,H157=""),"",IF('Metric Data'!$B$2,'Metric Calcs'!H155,'Metric Calcs'!N155))</f>
        <v/>
      </c>
      <c r="I159" s="30" t="str">
        <f>IF(OR(I157=1,I157=""),"",IF('Metric Data'!$B$2,'Metric Calcs'!K155,'Metric Calcs'!W155))</f>
        <v/>
      </c>
      <c r="J159" s="30" t="str">
        <f>IF('Metric Data'!$B$2,'Metric Calcs'!N155,"")</f>
        <v/>
      </c>
      <c r="K159" s="30" t="str">
        <f>IF('Metric Data'!$B$2,'Metric Calcs'!W155,"")</f>
        <v/>
      </c>
      <c r="L159" s="37" t="str">
        <f>IF('Metric Data'!$B$2,J159,H159)</f>
        <v/>
      </c>
      <c r="M159" s="112" t="str">
        <f>IF('Metric Data'!$B$2,K159,I159)</f>
        <v/>
      </c>
      <c r="O159" s="32" t="str">
        <f t="shared" si="17"/>
        <v/>
      </c>
      <c r="Q159" s="112">
        <f t="shared" si="22"/>
        <v>-1.524000000000004</v>
      </c>
      <c r="R159" s="32" t="str">
        <f t="shared" si="24"/>
        <v/>
      </c>
      <c r="S159" s="32" t="str">
        <f t="shared" si="23"/>
        <v/>
      </c>
      <c r="U159" s="32" t="str">
        <f t="shared" si="19"/>
        <v/>
      </c>
      <c r="X159" s="30" t="str" cm="1">
        <f t="array" ref="X159">IF($AP$21="INVERT",R159,IF(X158&gt;=$S$12,"",IF(R158="","",INDEX($R$18:$R$227,$U$17-ROWS($R$18:$R158)))))</f>
        <v/>
      </c>
      <c r="Y159" s="30" t="str">
        <f t="shared" si="20"/>
        <v/>
      </c>
      <c r="Z159" s="30" t="str">
        <f>IF(Z158="","",IF($AP$21="TYP",IF(S158="","",INDEX($S$18:$S$227,$U$17-ROWS($S$18:$S158))),IF($AP$21="INVERT",S159,"")))</f>
        <v/>
      </c>
      <c r="AA159" s="75" t="str">
        <f t="shared" si="21"/>
        <v/>
      </c>
      <c r="AB159" s="75"/>
      <c r="AC159" s="35"/>
      <c r="AD159" s="35"/>
      <c r="AE159" s="35"/>
      <c r="AF159" s="35"/>
      <c r="AG159" s="35"/>
      <c r="AH159" s="35"/>
      <c r="AI159" s="35"/>
      <c r="AJ159" s="35"/>
      <c r="AK159" s="35"/>
      <c r="AL159" s="35"/>
      <c r="AM159" s="35"/>
    </row>
    <row r="160" spans="1:39" x14ac:dyDescent="0.2">
      <c r="A160" s="32" t="str">
        <f t="shared" si="18"/>
        <v/>
      </c>
      <c r="C160" s="36" t="str">
        <f>IF(OR(C159&lt;30,C159=""),"",'Metric Calcs'!C156)</f>
        <v/>
      </c>
      <c r="D160" s="80" t="str">
        <f>IF(C160=0,"",'Metric Calcs'!D156)</f>
        <v/>
      </c>
      <c r="E160" s="80" t="str">
        <f>IF(OR(E158=1,E158=""),"",IF('Metric Data'!$B$2,'Metric Calcs'!E156,'Metric Calcs'!F156))</f>
        <v/>
      </c>
      <c r="F160" s="30" t="str">
        <f>IF(OR(F158=1,F158=""),"",IF('Metric Data'!$B$2,'Metric Calcs'!F156,'Metric Calcs'!H156))</f>
        <v/>
      </c>
      <c r="G160" s="30" t="str">
        <f>IF(OR(G158=1,G158=""),"",IF('Metric Data'!$B$2,'Metric Calcs'!G156,'Metric Calcs'!K156))</f>
        <v/>
      </c>
      <c r="H160" s="30" t="str">
        <f>IF(OR(H158=1,H158=""),"",IF('Metric Data'!$B$2,'Metric Calcs'!H156,'Metric Calcs'!N156))</f>
        <v/>
      </c>
      <c r="I160" s="30" t="str">
        <f>IF(OR(I158=1,I158=""),"",IF('Metric Data'!$B$2,'Metric Calcs'!K156,'Metric Calcs'!W156))</f>
        <v/>
      </c>
      <c r="J160" s="30" t="str">
        <f>IF('Metric Data'!$B$2,'Metric Calcs'!N156,"")</f>
        <v/>
      </c>
      <c r="K160" s="30" t="str">
        <f>IF('Metric Data'!$B$2,'Metric Calcs'!W156,"")</f>
        <v/>
      </c>
      <c r="L160" s="37" t="str">
        <f>IF('Metric Data'!$B$2,J160,H160)</f>
        <v/>
      </c>
      <c r="M160" s="112" t="str">
        <f>IF('Metric Data'!$B$2,K160,I160)</f>
        <v/>
      </c>
      <c r="O160" s="32" t="str">
        <f t="shared" si="17"/>
        <v/>
      </c>
      <c r="Q160" s="112">
        <f t="shared" si="22"/>
        <v>-1.5494000000000041</v>
      </c>
      <c r="R160" s="32" t="str">
        <f t="shared" si="24"/>
        <v/>
      </c>
      <c r="S160" s="32" t="str">
        <f t="shared" si="23"/>
        <v/>
      </c>
      <c r="U160" s="32" t="str">
        <f t="shared" si="19"/>
        <v/>
      </c>
      <c r="X160" s="30" t="str" cm="1">
        <f t="array" ref="X160">IF($AP$21="INVERT",R160,IF(X159&gt;=$S$12,"",IF(R159="","",INDEX($R$18:$R$227,$U$17-ROWS($R$18:$R159)))))</f>
        <v/>
      </c>
      <c r="Y160" s="30" t="str">
        <f t="shared" si="20"/>
        <v/>
      </c>
      <c r="Z160" s="30" t="str">
        <f>IF(Z159="","",IF($AP$21="TYP",IF(S159="","",INDEX($S$18:$S$227,$U$17-ROWS($S$18:$S159))),IF($AP$21="INVERT",S160,"")))</f>
        <v/>
      </c>
      <c r="AA160" s="75" t="str">
        <f t="shared" si="21"/>
        <v/>
      </c>
      <c r="AB160" s="75"/>
      <c r="AC160" s="35"/>
      <c r="AD160" s="35"/>
      <c r="AE160" s="35"/>
      <c r="AF160" s="35"/>
      <c r="AG160" s="35"/>
      <c r="AH160" s="35"/>
      <c r="AI160" s="35"/>
      <c r="AJ160" s="35"/>
      <c r="AK160" s="35"/>
      <c r="AL160" s="35"/>
      <c r="AM160" s="35"/>
    </row>
    <row r="161" spans="1:39" x14ac:dyDescent="0.2">
      <c r="A161" s="32" t="str">
        <f t="shared" si="18"/>
        <v/>
      </c>
      <c r="C161" s="36" t="str">
        <f>IF(OR(C160&lt;30,C160=""),"",'Metric Calcs'!C157)</f>
        <v/>
      </c>
      <c r="D161" s="80" t="str">
        <f>IF(C161=0,"",'Metric Calcs'!D157)</f>
        <v/>
      </c>
      <c r="E161" s="80" t="str">
        <f>IF(OR(E159=1,E159=""),"",IF('Metric Data'!$B$2,'Metric Calcs'!E157,'Metric Calcs'!F157))</f>
        <v/>
      </c>
      <c r="F161" s="30" t="str">
        <f>IF(OR(F159=1,F159=""),"",IF('Metric Data'!$B$2,'Metric Calcs'!F157,'Metric Calcs'!H157))</f>
        <v/>
      </c>
      <c r="G161" s="30" t="str">
        <f>IF(OR(G159=1,G159=""),"",IF('Metric Data'!$B$2,'Metric Calcs'!G157,'Metric Calcs'!K157))</f>
        <v/>
      </c>
      <c r="H161" s="30" t="str">
        <f>IF(OR(H159=1,H159=""),"",IF('Metric Data'!$B$2,'Metric Calcs'!H157,'Metric Calcs'!N157))</f>
        <v/>
      </c>
      <c r="I161" s="30" t="str">
        <f>IF(OR(I159=1,I159=""),"",IF('Metric Data'!$B$2,'Metric Calcs'!K157,'Metric Calcs'!W157))</f>
        <v/>
      </c>
      <c r="J161" s="30" t="str">
        <f>IF('Metric Data'!$B$2,'Metric Calcs'!N157,"")</f>
        <v/>
      </c>
      <c r="K161" s="30" t="str">
        <f>IF('Metric Data'!$B$2,'Metric Calcs'!W157,"")</f>
        <v/>
      </c>
      <c r="L161" s="37" t="str">
        <f>IF('Metric Data'!$B$2,J161,H161)</f>
        <v/>
      </c>
      <c r="M161" s="112" t="str">
        <f>IF('Metric Data'!$B$2,K161,I161)</f>
        <v/>
      </c>
      <c r="O161" s="32" t="str">
        <f t="shared" si="17"/>
        <v/>
      </c>
      <c r="Q161" s="112">
        <f t="shared" si="22"/>
        <v>-1.5748000000000042</v>
      </c>
      <c r="R161" s="32" t="str">
        <f t="shared" si="24"/>
        <v/>
      </c>
      <c r="S161" s="32" t="str">
        <f t="shared" si="23"/>
        <v/>
      </c>
      <c r="U161" s="32" t="str">
        <f t="shared" si="19"/>
        <v/>
      </c>
      <c r="X161" s="30" t="str" cm="1">
        <f t="array" ref="X161">IF($AP$21="INVERT",R161,IF(X160&gt;=$S$12,"",IF(R160="","",INDEX($R$18:$R$227,$U$17-ROWS($R$18:$R160)))))</f>
        <v/>
      </c>
      <c r="Y161" s="30" t="str">
        <f t="shared" si="20"/>
        <v/>
      </c>
      <c r="Z161" s="30" t="str">
        <f>IF(Z160="","",IF($AP$21="TYP",IF(S160="","",INDEX($S$18:$S$227,$U$17-ROWS($S$18:$S160))),IF($AP$21="INVERT",S161,"")))</f>
        <v/>
      </c>
      <c r="AA161" s="75" t="str">
        <f t="shared" si="21"/>
        <v/>
      </c>
      <c r="AB161" s="75"/>
      <c r="AC161" s="35"/>
      <c r="AD161" s="35"/>
      <c r="AE161" s="35"/>
      <c r="AF161" s="35"/>
      <c r="AG161" s="35"/>
      <c r="AH161" s="35"/>
      <c r="AI161" s="35"/>
      <c r="AJ161" s="35"/>
      <c r="AK161" s="35"/>
      <c r="AL161" s="35"/>
      <c r="AM161" s="35"/>
    </row>
    <row r="162" spans="1:39" x14ac:dyDescent="0.2">
      <c r="A162" s="32" t="str">
        <f t="shared" si="18"/>
        <v/>
      </c>
      <c r="C162" s="36" t="str">
        <f>IF(OR(C161&lt;30,C161=""),"",'Metric Calcs'!C158)</f>
        <v/>
      </c>
      <c r="D162" s="80" t="str">
        <f>IF(C162=0,"",'Metric Calcs'!D158)</f>
        <v/>
      </c>
      <c r="E162" s="80" t="str">
        <f>IF(OR(E160=1,E160=""),"",IF('Metric Data'!$B$2,'Metric Calcs'!E158,'Metric Calcs'!F158))</f>
        <v/>
      </c>
      <c r="F162" s="30" t="str">
        <f>IF(OR(F160=1,F160=""),"",IF('Metric Data'!$B$2,'Metric Calcs'!F158,'Metric Calcs'!H158))</f>
        <v/>
      </c>
      <c r="G162" s="30" t="str">
        <f>IF(OR(G160=1,G160=""),"",IF('Metric Data'!$B$2,'Metric Calcs'!G158,'Metric Calcs'!K158))</f>
        <v/>
      </c>
      <c r="H162" s="30" t="str">
        <f>IF(OR(H160=1,H160=""),"",IF('Metric Data'!$B$2,'Metric Calcs'!H158,'Metric Calcs'!N158))</f>
        <v/>
      </c>
      <c r="I162" s="30" t="str">
        <f>IF(OR(I160=1,I160=""),"",IF('Metric Data'!$B$2,'Metric Calcs'!K158,'Metric Calcs'!W158))</f>
        <v/>
      </c>
      <c r="J162" s="30" t="str">
        <f>IF('Metric Data'!$B$2,'Metric Calcs'!N158,"")</f>
        <v/>
      </c>
      <c r="K162" s="30" t="str">
        <f>IF('Metric Data'!$B$2,'Metric Calcs'!W158,"")</f>
        <v/>
      </c>
      <c r="L162" s="37" t="str">
        <f>IF('Metric Data'!$B$2,J162,H162)</f>
        <v/>
      </c>
      <c r="M162" s="112" t="str">
        <f>IF('Metric Data'!$B$2,K162,I162)</f>
        <v/>
      </c>
      <c r="O162" s="32" t="str">
        <f t="shared" si="17"/>
        <v/>
      </c>
      <c r="Q162" s="112">
        <f t="shared" si="22"/>
        <v>-1.6002000000000043</v>
      </c>
      <c r="R162" s="32" t="str">
        <f t="shared" si="24"/>
        <v/>
      </c>
      <c r="S162" s="32" t="str">
        <f t="shared" si="23"/>
        <v/>
      </c>
      <c r="U162" s="32" t="str">
        <f t="shared" si="19"/>
        <v/>
      </c>
      <c r="X162" s="30" t="str" cm="1">
        <f t="array" ref="X162">IF($AP$21="INVERT",R162,IF(X161&gt;=$S$12,"",IF(R161="","",INDEX($R$18:$R$227,$U$17-ROWS($R$18:$R161)))))</f>
        <v/>
      </c>
      <c r="Y162" s="30" t="str">
        <f t="shared" si="20"/>
        <v/>
      </c>
      <c r="Z162" s="30" t="str">
        <f>IF(Z161="","",IF($AP$21="TYP",IF(S161="","",INDEX($S$18:$S$227,$U$17-ROWS($S$18:$S161))),IF($AP$21="INVERT",S162,"")))</f>
        <v/>
      </c>
      <c r="AA162" s="75" t="str">
        <f t="shared" si="21"/>
        <v/>
      </c>
      <c r="AB162" s="75"/>
      <c r="AC162" s="35"/>
      <c r="AD162" s="35"/>
      <c r="AE162" s="35"/>
      <c r="AF162" s="35"/>
      <c r="AG162" s="35"/>
      <c r="AH162" s="35"/>
      <c r="AI162" s="35"/>
      <c r="AJ162" s="35"/>
      <c r="AK162" s="35"/>
      <c r="AL162" s="35"/>
      <c r="AM162" s="35"/>
    </row>
    <row r="163" spans="1:39" x14ac:dyDescent="0.2">
      <c r="A163" s="32" t="str">
        <f t="shared" si="18"/>
        <v/>
      </c>
      <c r="C163" s="36" t="str">
        <f>IF(OR(C162&lt;30,C162=""),"",'Metric Calcs'!C159)</f>
        <v/>
      </c>
      <c r="D163" s="80" t="str">
        <f>IF(C163=0,"",'Metric Calcs'!D159)</f>
        <v/>
      </c>
      <c r="E163" s="80" t="str">
        <f>IF(OR(E161=1,E161=""),"",IF('Metric Data'!$B$2,'Metric Calcs'!E159,'Metric Calcs'!F159))</f>
        <v/>
      </c>
      <c r="F163" s="30" t="str">
        <f>IF(OR(F161=1,F161=""),"",IF('Metric Data'!$B$2,'Metric Calcs'!F159,'Metric Calcs'!H159))</f>
        <v/>
      </c>
      <c r="G163" s="30" t="str">
        <f>IF(OR(G161=1,G161=""),"",IF('Metric Data'!$B$2,'Metric Calcs'!G159,'Metric Calcs'!K159))</f>
        <v/>
      </c>
      <c r="H163" s="30" t="str">
        <f>IF(OR(H161=1,H161=""),"",IF('Metric Data'!$B$2,'Metric Calcs'!H159,'Metric Calcs'!N159))</f>
        <v/>
      </c>
      <c r="I163" s="30" t="str">
        <f>IF(OR(I161=1,I161=""),"",IF('Metric Data'!$B$2,'Metric Calcs'!K159,'Metric Calcs'!W159))</f>
        <v/>
      </c>
      <c r="J163" s="30" t="str">
        <f>IF('Metric Data'!$B$2,'Metric Calcs'!N159,"")</f>
        <v/>
      </c>
      <c r="K163" s="30" t="str">
        <f>IF('Metric Data'!$B$2,'Metric Calcs'!W159,"")</f>
        <v/>
      </c>
      <c r="L163" s="37" t="str">
        <f>IF('Metric Data'!$B$2,J163,H163)</f>
        <v/>
      </c>
      <c r="M163" s="112" t="str">
        <f>IF('Metric Data'!$B$2,K163,I163)</f>
        <v/>
      </c>
      <c r="O163" s="32" t="str">
        <f t="shared" si="17"/>
        <v/>
      </c>
      <c r="Q163" s="112">
        <f t="shared" si="22"/>
        <v>-1.6256000000000044</v>
      </c>
      <c r="R163" s="32" t="str">
        <f t="shared" si="24"/>
        <v/>
      </c>
      <c r="S163" s="32" t="str">
        <f t="shared" si="23"/>
        <v/>
      </c>
      <c r="U163" s="32" t="str">
        <f t="shared" si="19"/>
        <v/>
      </c>
      <c r="X163" s="30" t="str" cm="1">
        <f t="array" ref="X163">IF($AP$21="INVERT",R163,IF(X162&gt;=$S$12,"",IF(R162="","",INDEX($R$18:$R$227,$U$17-ROWS($R$18:$R162)))))</f>
        <v/>
      </c>
      <c r="Y163" s="30" t="str">
        <f t="shared" si="20"/>
        <v/>
      </c>
      <c r="Z163" s="30" t="str">
        <f>IF(Z162="","",IF($AP$21="TYP",IF(S162="","",INDEX($S$18:$S$227,$U$17-ROWS($S$18:$S162))),IF($AP$21="INVERT",S163,"")))</f>
        <v/>
      </c>
      <c r="AA163" s="75" t="str">
        <f t="shared" si="21"/>
        <v/>
      </c>
      <c r="AB163" s="75"/>
      <c r="AC163" s="35"/>
      <c r="AD163" s="35"/>
      <c r="AE163" s="35"/>
      <c r="AF163" s="35"/>
      <c r="AG163" s="35"/>
      <c r="AH163" s="35"/>
      <c r="AI163" s="35"/>
      <c r="AJ163" s="35"/>
      <c r="AK163" s="35"/>
      <c r="AL163" s="35"/>
      <c r="AM163" s="35"/>
    </row>
    <row r="164" spans="1:39" x14ac:dyDescent="0.2">
      <c r="A164" s="32" t="str">
        <f t="shared" si="18"/>
        <v/>
      </c>
      <c r="C164" s="36" t="str">
        <f>IF(OR(C163&lt;30,C163=""),"",'Metric Calcs'!C160)</f>
        <v/>
      </c>
      <c r="D164" s="80" t="str">
        <f>IF(C164=0,"",'Metric Calcs'!D160)</f>
        <v/>
      </c>
      <c r="E164" s="80" t="str">
        <f>IF(OR(E162=1,E162=""),"",IF('Metric Data'!$B$2,'Metric Calcs'!E160,'Metric Calcs'!F160))</f>
        <v/>
      </c>
      <c r="F164" s="30" t="str">
        <f>IF(OR(F162=1,F162=""),"",IF('Metric Data'!$B$2,'Metric Calcs'!F160,'Metric Calcs'!H160))</f>
        <v/>
      </c>
      <c r="G164" s="30" t="str">
        <f>IF(OR(G162=1,G162=""),"",IF('Metric Data'!$B$2,'Metric Calcs'!G160,'Metric Calcs'!K160))</f>
        <v/>
      </c>
      <c r="H164" s="30" t="str">
        <f>IF(OR(H162=1,H162=""),"",IF('Metric Data'!$B$2,'Metric Calcs'!H160,'Metric Calcs'!N160))</f>
        <v/>
      </c>
      <c r="I164" s="30" t="str">
        <f>IF(OR(I162=1,I162=""),"",IF('Metric Data'!$B$2,'Metric Calcs'!K160,'Metric Calcs'!W160))</f>
        <v/>
      </c>
      <c r="J164" s="30" t="str">
        <f>IF('Metric Data'!$B$2,'Metric Calcs'!N160,"")</f>
        <v/>
      </c>
      <c r="K164" s="30" t="str">
        <f>IF('Metric Data'!$B$2,'Metric Calcs'!W160,"")</f>
        <v/>
      </c>
      <c r="L164" s="37" t="str">
        <f>IF('Metric Data'!$B$2,J164,H164)</f>
        <v/>
      </c>
      <c r="M164" s="112" t="str">
        <f>IF('Metric Data'!$B$2,K164,I164)</f>
        <v/>
      </c>
      <c r="O164" s="32" t="str">
        <f t="shared" ref="O164:O199" si="25">IF(M165="",IF(M164="","",$F$9),M164)</f>
        <v/>
      </c>
      <c r="Q164" s="112">
        <f t="shared" si="22"/>
        <v>-1.6510000000000045</v>
      </c>
      <c r="R164" s="32" t="str">
        <f t="shared" si="24"/>
        <v/>
      </c>
      <c r="S164" s="32" t="str">
        <f t="shared" si="23"/>
        <v/>
      </c>
      <c r="U164" s="32" t="str">
        <f t="shared" si="19"/>
        <v/>
      </c>
      <c r="X164" s="30" t="str" cm="1">
        <f t="array" ref="X164">IF($AP$21="INVERT",R164,IF(X163&gt;=$S$12,"",IF(R163="","",INDEX($R$18:$R$227,$U$17-ROWS($R$18:$R163)))))</f>
        <v/>
      </c>
      <c r="Y164" s="30" t="str">
        <f t="shared" si="20"/>
        <v/>
      </c>
      <c r="Z164" s="30" t="str">
        <f>IF(Z163="","",IF($AP$21="TYP",IF(S163="","",INDEX($S$18:$S$227,$U$17-ROWS($S$18:$S163))),IF($AP$21="INVERT",S164,"")))</f>
        <v/>
      </c>
      <c r="AA164" s="75" t="str">
        <f t="shared" si="21"/>
        <v/>
      </c>
      <c r="AB164" s="75"/>
      <c r="AC164" s="35"/>
      <c r="AD164" s="35"/>
      <c r="AE164" s="35"/>
      <c r="AF164" s="35"/>
      <c r="AG164" s="35"/>
      <c r="AH164" s="35"/>
      <c r="AI164" s="35"/>
      <c r="AJ164" s="35"/>
      <c r="AK164" s="35"/>
      <c r="AL164" s="35"/>
      <c r="AM164" s="35"/>
    </row>
    <row r="165" spans="1:39" x14ac:dyDescent="0.2">
      <c r="A165" s="32" t="str">
        <f t="shared" si="18"/>
        <v/>
      </c>
      <c r="C165" s="36" t="str">
        <f>IF(OR(C164&lt;30,C164=""),"",'Metric Calcs'!C161)</f>
        <v/>
      </c>
      <c r="D165" s="80" t="str">
        <f>IF(C165=0,"",'Metric Calcs'!D161)</f>
        <v/>
      </c>
      <c r="E165" s="80" t="str">
        <f>IF(OR(E163=1,E163=""),"",IF('Metric Data'!$B$2,'Metric Calcs'!E161,'Metric Calcs'!F161))</f>
        <v/>
      </c>
      <c r="F165" s="30" t="str">
        <f>IF(OR(F163=1,F163=""),"",IF('Metric Data'!$B$2,'Metric Calcs'!F161,'Metric Calcs'!H161))</f>
        <v/>
      </c>
      <c r="G165" s="30" t="str">
        <f>IF(OR(G163=1,G163=""),"",IF('Metric Data'!$B$2,'Metric Calcs'!G161,'Metric Calcs'!K161))</f>
        <v/>
      </c>
      <c r="H165" s="30" t="str">
        <f>IF(OR(H163=1,H163=""),"",IF('Metric Data'!$B$2,'Metric Calcs'!H161,'Metric Calcs'!N161))</f>
        <v/>
      </c>
      <c r="I165" s="30" t="str">
        <f>IF(OR(I163=1,I163=""),"",IF('Metric Data'!$B$2,'Metric Calcs'!K161,'Metric Calcs'!W161))</f>
        <v/>
      </c>
      <c r="J165" s="30" t="str">
        <f>IF('Metric Data'!$B$2,'Metric Calcs'!N161,"")</f>
        <v/>
      </c>
      <c r="K165" s="30" t="str">
        <f>IF('Metric Data'!$B$2,'Metric Calcs'!W161,"")</f>
        <v/>
      </c>
      <c r="L165" s="37" t="str">
        <f>IF('Metric Data'!$B$2,J165,H165)</f>
        <v/>
      </c>
      <c r="M165" s="112" t="str">
        <f>IF('Metric Data'!$B$2,K165,I165)</f>
        <v/>
      </c>
      <c r="O165" s="32" t="str">
        <f t="shared" si="25"/>
        <v/>
      </c>
      <c r="Q165" s="112">
        <f t="shared" si="22"/>
        <v>-1.6764000000000046</v>
      </c>
      <c r="R165" s="32" t="str">
        <f t="shared" si="24"/>
        <v/>
      </c>
      <c r="S165" s="32" t="str">
        <f t="shared" si="23"/>
        <v/>
      </c>
      <c r="U165" s="32" t="str">
        <f t="shared" si="19"/>
        <v/>
      </c>
      <c r="X165" s="30" t="str" cm="1">
        <f t="array" ref="X165">IF($AP$21="INVERT",R165,IF(X164&gt;=$S$12,"",IF(R164="","",INDEX($R$18:$R$227,$U$17-ROWS($R$18:$R164)))))</f>
        <v/>
      </c>
      <c r="Y165" s="30" t="str">
        <f t="shared" si="20"/>
        <v/>
      </c>
      <c r="Z165" s="30" t="str">
        <f>IF(Z164="","",IF($AP$21="TYP",IF(S164="","",INDEX($S$18:$S$227,$U$17-ROWS($S$18:$S164))),IF($AP$21="INVERT",S165,"")))</f>
        <v/>
      </c>
      <c r="AA165" s="75" t="str">
        <f t="shared" si="21"/>
        <v/>
      </c>
      <c r="AB165" s="75"/>
      <c r="AC165" s="35"/>
      <c r="AD165" s="35"/>
      <c r="AE165" s="35"/>
      <c r="AF165" s="35"/>
      <c r="AG165" s="35"/>
      <c r="AH165" s="35"/>
      <c r="AI165" s="35"/>
      <c r="AJ165" s="35"/>
      <c r="AK165" s="35"/>
      <c r="AL165" s="35"/>
      <c r="AM165" s="35"/>
    </row>
    <row r="166" spans="1:39" x14ac:dyDescent="0.2">
      <c r="A166" s="32" t="str">
        <f t="shared" si="18"/>
        <v/>
      </c>
      <c r="C166" s="36" t="str">
        <f>IF(OR(C165&lt;30,C165=""),"",'Metric Calcs'!C162)</f>
        <v/>
      </c>
      <c r="D166" s="80" t="str">
        <f>IF(C166=0,"",'Metric Calcs'!D162)</f>
        <v/>
      </c>
      <c r="E166" s="80" t="str">
        <f>IF(OR(E164=1,E164=""),"",IF('Metric Data'!$B$2,'Metric Calcs'!E162,'Metric Calcs'!F162))</f>
        <v/>
      </c>
      <c r="F166" s="30" t="str">
        <f>IF(OR(F164=1,F164=""),"",IF('Metric Data'!$B$2,'Metric Calcs'!F162,'Metric Calcs'!H162))</f>
        <v/>
      </c>
      <c r="G166" s="30" t="str">
        <f>IF(OR(G164=1,G164=""),"",IF('Metric Data'!$B$2,'Metric Calcs'!G162,'Metric Calcs'!K162))</f>
        <v/>
      </c>
      <c r="H166" s="30" t="str">
        <f>IF(OR(H164=1,H164=""),"",IF('Metric Data'!$B$2,'Metric Calcs'!H162,'Metric Calcs'!N162))</f>
        <v/>
      </c>
      <c r="I166" s="30" t="str">
        <f>IF(OR(I164=1,I164=""),"",IF('Metric Data'!$B$2,'Metric Calcs'!K162,'Metric Calcs'!W162))</f>
        <v/>
      </c>
      <c r="J166" s="30" t="str">
        <f>IF('Metric Data'!$B$2,'Metric Calcs'!N162,"")</f>
        <v/>
      </c>
      <c r="K166" s="30" t="str">
        <f>IF('Metric Data'!$B$2,'Metric Calcs'!W162,"")</f>
        <v/>
      </c>
      <c r="L166" s="37" t="str">
        <f>IF('Metric Data'!$B$2,J166,H166)</f>
        <v/>
      </c>
      <c r="M166" s="112" t="str">
        <f>IF('Metric Data'!$B$2,K166,I166)</f>
        <v/>
      </c>
      <c r="O166" s="32" t="str">
        <f t="shared" si="25"/>
        <v/>
      </c>
      <c r="Q166" s="112">
        <f t="shared" si="22"/>
        <v>-1.7018000000000046</v>
      </c>
      <c r="R166" s="32" t="str">
        <f t="shared" si="24"/>
        <v/>
      </c>
      <c r="S166" s="32" t="str">
        <f t="shared" si="23"/>
        <v/>
      </c>
      <c r="U166" s="32" t="str">
        <f t="shared" si="19"/>
        <v/>
      </c>
      <c r="X166" s="30" t="str" cm="1">
        <f t="array" ref="X166">IF($AP$21="INVERT",R166,IF(X165&gt;=$S$12,"",IF(R165="","",INDEX($R$18:$R$227,$U$17-ROWS($R$18:$R165)))))</f>
        <v/>
      </c>
      <c r="Y166" s="30" t="str">
        <f t="shared" si="20"/>
        <v/>
      </c>
      <c r="Z166" s="30" t="str">
        <f>IF(Z165="","",IF($AP$21="TYP",IF(S165="","",INDEX($S$18:$S$227,$U$17-ROWS($S$18:$S165))),IF($AP$21="INVERT",S166,"")))</f>
        <v/>
      </c>
      <c r="AA166" s="75" t="str">
        <f t="shared" si="21"/>
        <v/>
      </c>
      <c r="AB166" s="75"/>
      <c r="AC166" s="35"/>
      <c r="AD166" s="35"/>
      <c r="AE166" s="35"/>
      <c r="AF166" s="35"/>
      <c r="AG166" s="35"/>
      <c r="AH166" s="35"/>
      <c r="AI166" s="35"/>
      <c r="AJ166" s="35"/>
      <c r="AK166" s="35"/>
      <c r="AL166" s="35"/>
      <c r="AM166" s="35"/>
    </row>
    <row r="167" spans="1:39" x14ac:dyDescent="0.2">
      <c r="A167" s="32" t="str">
        <f t="shared" si="18"/>
        <v/>
      </c>
      <c r="C167" s="36" t="str">
        <f>IF(OR(C166&lt;30,C166=""),"",'Metric Calcs'!C163)</f>
        <v/>
      </c>
      <c r="D167" s="80" t="str">
        <f>IF(C167=0,"",'Metric Calcs'!D163)</f>
        <v/>
      </c>
      <c r="E167" s="80" t="str">
        <f>IF(OR(E165=1,E165=""),"",IF('Metric Data'!$B$2,'Metric Calcs'!E163,'Metric Calcs'!F163))</f>
        <v/>
      </c>
      <c r="F167" s="30" t="str">
        <f>IF(OR(F165=1,F165=""),"",IF('Metric Data'!$B$2,'Metric Calcs'!F163,'Metric Calcs'!H163))</f>
        <v/>
      </c>
      <c r="G167" s="30" t="str">
        <f>IF(OR(G165=1,G165=""),"",IF('Metric Data'!$B$2,'Metric Calcs'!G163,'Metric Calcs'!K163))</f>
        <v/>
      </c>
      <c r="H167" s="30" t="str">
        <f>IF(OR(H165=1,H165=""),"",IF('Metric Data'!$B$2,'Metric Calcs'!H163,'Metric Calcs'!N163))</f>
        <v/>
      </c>
      <c r="I167" s="30" t="str">
        <f>IF(OR(I165=1,I165=""),"",IF('Metric Data'!$B$2,'Metric Calcs'!K163,'Metric Calcs'!W163))</f>
        <v/>
      </c>
      <c r="J167" s="30" t="str">
        <f>IF('Metric Data'!$B$2,'Metric Calcs'!N163,"")</f>
        <v/>
      </c>
      <c r="K167" s="30" t="str">
        <f>IF('Metric Data'!$B$2,'Metric Calcs'!W163,"")</f>
        <v/>
      </c>
      <c r="L167" s="37" t="str">
        <f>IF('Metric Data'!$B$2,J167,H167)</f>
        <v/>
      </c>
      <c r="M167" s="112" t="str">
        <f>IF('Metric Data'!$B$2,K167,I167)</f>
        <v/>
      </c>
      <c r="O167" s="32" t="str">
        <f t="shared" si="25"/>
        <v/>
      </c>
      <c r="Q167" s="112">
        <f t="shared" si="22"/>
        <v>-1.7272000000000047</v>
      </c>
      <c r="R167" s="32" t="str">
        <f t="shared" si="24"/>
        <v/>
      </c>
      <c r="S167" s="32" t="str">
        <f t="shared" si="23"/>
        <v/>
      </c>
      <c r="U167" s="32" t="str">
        <f t="shared" si="19"/>
        <v/>
      </c>
      <c r="X167" s="30" t="str" cm="1">
        <f t="array" ref="X167">IF($AP$21="INVERT",R167,IF(X166&gt;=$S$12,"",IF(R166="","",INDEX($R$18:$R$227,$U$17-ROWS($R$18:$R166)))))</f>
        <v/>
      </c>
      <c r="Y167" s="30" t="str">
        <f t="shared" si="20"/>
        <v/>
      </c>
      <c r="Z167" s="30" t="str">
        <f>IF(Z166="","",IF($AP$21="TYP",IF(S166="","",INDEX($S$18:$S$227,$U$17-ROWS($S$18:$S166))),IF($AP$21="INVERT",S167,"")))</f>
        <v/>
      </c>
      <c r="AA167" s="75" t="str">
        <f t="shared" si="21"/>
        <v/>
      </c>
      <c r="AB167" s="75"/>
      <c r="AC167" s="35"/>
      <c r="AD167" s="35"/>
      <c r="AE167" s="35"/>
      <c r="AF167" s="35"/>
      <c r="AG167" s="35"/>
      <c r="AH167" s="35"/>
      <c r="AI167" s="35"/>
      <c r="AJ167" s="35"/>
      <c r="AK167" s="35"/>
      <c r="AL167" s="35"/>
      <c r="AM167" s="35"/>
    </row>
    <row r="168" spans="1:39" x14ac:dyDescent="0.2">
      <c r="A168" s="32" t="str">
        <f t="shared" si="18"/>
        <v/>
      </c>
      <c r="C168" s="36" t="str">
        <f>IF(OR(C167&lt;30,C167=""),"",'Metric Calcs'!C164)</f>
        <v/>
      </c>
      <c r="D168" s="80" t="str">
        <f>IF(C168=0,"",'Metric Calcs'!D164)</f>
        <v/>
      </c>
      <c r="E168" s="80" t="str">
        <f>IF(OR(E166=1,E166=""),"",IF('Metric Data'!$B$2,'Metric Calcs'!E164,'Metric Calcs'!F164))</f>
        <v/>
      </c>
      <c r="F168" s="30" t="str">
        <f>IF(OR(F166=1,F166=""),"",IF('Metric Data'!$B$2,'Metric Calcs'!F164,'Metric Calcs'!H164))</f>
        <v/>
      </c>
      <c r="G168" s="30" t="str">
        <f>IF(OR(G166=1,G166=""),"",IF('Metric Data'!$B$2,'Metric Calcs'!G164,'Metric Calcs'!K164))</f>
        <v/>
      </c>
      <c r="H168" s="30" t="str">
        <f>IF(OR(H166=1,H166=""),"",IF('Metric Data'!$B$2,'Metric Calcs'!H164,'Metric Calcs'!N164))</f>
        <v/>
      </c>
      <c r="I168" s="30" t="str">
        <f>IF(OR(I166=1,I166=""),"",IF('Metric Data'!$B$2,'Metric Calcs'!K164,'Metric Calcs'!W164))</f>
        <v/>
      </c>
      <c r="J168" s="30" t="str">
        <f>IF('Metric Data'!$B$2,'Metric Calcs'!N164,"")</f>
        <v/>
      </c>
      <c r="K168" s="30" t="str">
        <f>IF('Metric Data'!$B$2,'Metric Calcs'!W164,"")</f>
        <v/>
      </c>
      <c r="L168" s="37" t="str">
        <f>IF('Metric Data'!$B$2,J168,H168)</f>
        <v/>
      </c>
      <c r="M168" s="112" t="str">
        <f>IF('Metric Data'!$B$2,K168,I168)</f>
        <v/>
      </c>
      <c r="O168" s="32" t="str">
        <f t="shared" si="25"/>
        <v/>
      </c>
      <c r="Q168" s="112">
        <f t="shared" si="22"/>
        <v>-1.7526000000000048</v>
      </c>
      <c r="R168" s="32" t="str">
        <f t="shared" si="24"/>
        <v/>
      </c>
      <c r="S168" s="32" t="str">
        <f t="shared" si="23"/>
        <v/>
      </c>
      <c r="U168" s="32" t="str">
        <f t="shared" si="19"/>
        <v/>
      </c>
      <c r="X168" s="30" t="str" cm="1">
        <f t="array" ref="X168">IF($AP$21="INVERT",R168,IF(X167&gt;=$S$12,"",IF(R167="","",INDEX($R$18:$R$227,$U$17-ROWS($R$18:$R167)))))</f>
        <v/>
      </c>
      <c r="Y168" s="30" t="str">
        <f t="shared" si="20"/>
        <v/>
      </c>
      <c r="Z168" s="30" t="str">
        <f>IF(Z167="","",IF($AP$21="TYP",IF(S167="","",INDEX($S$18:$S$227,$U$17-ROWS($S$18:$S167))),IF($AP$21="INVERT",S168,"")))</f>
        <v/>
      </c>
      <c r="AA168" s="75" t="str">
        <f t="shared" si="21"/>
        <v/>
      </c>
      <c r="AB168" s="75"/>
      <c r="AC168" s="35"/>
      <c r="AD168" s="35"/>
      <c r="AE168" s="35"/>
      <c r="AF168" s="35"/>
      <c r="AG168" s="35"/>
      <c r="AH168" s="35"/>
      <c r="AI168" s="35"/>
      <c r="AJ168" s="35"/>
      <c r="AK168" s="35"/>
      <c r="AL168" s="35"/>
      <c r="AM168" s="35"/>
    </row>
    <row r="169" spans="1:39" x14ac:dyDescent="0.2">
      <c r="A169" s="32" t="str">
        <f t="shared" si="18"/>
        <v/>
      </c>
      <c r="C169" s="36" t="str">
        <f>IF(OR(C168&lt;30,C168=""),"",'Metric Calcs'!C165)</f>
        <v/>
      </c>
      <c r="D169" s="80" t="str">
        <f>IF(C169=0,"",'Metric Calcs'!D165)</f>
        <v/>
      </c>
      <c r="E169" s="80" t="str">
        <f>IF(OR(E167=1,E167=""),"",IF('Metric Data'!$B$2,'Metric Calcs'!E165,'Metric Calcs'!F165))</f>
        <v/>
      </c>
      <c r="F169" s="30" t="str">
        <f>IF(OR(F167=1,F167=""),"",IF('Metric Data'!$B$2,'Metric Calcs'!F165,'Metric Calcs'!H165))</f>
        <v/>
      </c>
      <c r="G169" s="30" t="str">
        <f>IF(OR(G167=1,G167=""),"",IF('Metric Data'!$B$2,'Metric Calcs'!G165,'Metric Calcs'!K165))</f>
        <v/>
      </c>
      <c r="H169" s="30" t="str">
        <f>IF(OR(H167=1,H167=""),"",IF('Metric Data'!$B$2,'Metric Calcs'!H165,'Metric Calcs'!N165))</f>
        <v/>
      </c>
      <c r="I169" s="30" t="str">
        <f>IF(OR(I167=1,I167=""),"",IF('Metric Data'!$B$2,'Metric Calcs'!K165,'Metric Calcs'!W165))</f>
        <v/>
      </c>
      <c r="J169" s="30" t="str">
        <f>IF('Metric Data'!$B$2,'Metric Calcs'!N165,"")</f>
        <v/>
      </c>
      <c r="K169" s="30" t="str">
        <f>IF('Metric Data'!$B$2,'Metric Calcs'!W165,"")</f>
        <v/>
      </c>
      <c r="L169" s="37" t="str">
        <f>IF('Metric Data'!$B$2,J169,H169)</f>
        <v/>
      </c>
      <c r="M169" s="112" t="str">
        <f>IF('Metric Data'!$B$2,K169,I169)</f>
        <v/>
      </c>
      <c r="O169" s="32" t="str">
        <f t="shared" si="25"/>
        <v/>
      </c>
      <c r="Q169" s="112">
        <f t="shared" si="22"/>
        <v>-1.7780000000000049</v>
      </c>
      <c r="R169" s="32" t="str">
        <f t="shared" si="24"/>
        <v/>
      </c>
      <c r="S169" s="32" t="str">
        <f t="shared" si="23"/>
        <v/>
      </c>
      <c r="U169" s="32" t="str">
        <f t="shared" si="19"/>
        <v/>
      </c>
      <c r="X169" s="30" t="str" cm="1">
        <f t="array" ref="X169">IF($AP$21="INVERT",R169,IF(X168&gt;=$S$12,"",IF(R168="","",INDEX($R$18:$R$227,$U$17-ROWS($R$18:$R168)))))</f>
        <v/>
      </c>
      <c r="Y169" s="30" t="str">
        <f t="shared" si="20"/>
        <v/>
      </c>
      <c r="Z169" s="30" t="str">
        <f>IF(Z168="","",IF($AP$21="TYP",IF(S168="","",INDEX($S$18:$S$227,$U$17-ROWS($S$18:$S168))),IF($AP$21="INVERT",S169,"")))</f>
        <v/>
      </c>
      <c r="AA169" s="75" t="str">
        <f t="shared" si="21"/>
        <v/>
      </c>
      <c r="AB169" s="75"/>
      <c r="AC169" s="35"/>
      <c r="AD169" s="35"/>
      <c r="AE169" s="35"/>
      <c r="AF169" s="35"/>
      <c r="AG169" s="35"/>
      <c r="AH169" s="35"/>
      <c r="AI169" s="35"/>
      <c r="AJ169" s="35"/>
      <c r="AK169" s="35"/>
      <c r="AL169" s="35"/>
      <c r="AM169" s="35"/>
    </row>
    <row r="170" spans="1:39" x14ac:dyDescent="0.2">
      <c r="A170" s="32" t="str">
        <f t="shared" si="18"/>
        <v/>
      </c>
      <c r="C170" s="36" t="str">
        <f>IF(OR(C169&lt;30,C169=""),"",'Metric Calcs'!C166)</f>
        <v/>
      </c>
      <c r="D170" s="80" t="str">
        <f>IF(C170=0,"",'Metric Calcs'!D166)</f>
        <v/>
      </c>
      <c r="E170" s="80" t="str">
        <f>IF(OR(E168=1,E168=""),"",IF('Metric Data'!$B$2,'Metric Calcs'!E166,'Metric Calcs'!F166))</f>
        <v/>
      </c>
      <c r="F170" s="30" t="str">
        <f>IF(OR(F168=1,F168=""),"",IF('Metric Data'!$B$2,'Metric Calcs'!F166,'Metric Calcs'!H166))</f>
        <v/>
      </c>
      <c r="G170" s="30" t="str">
        <f>IF(OR(G168=1,G168=""),"",IF('Metric Data'!$B$2,'Metric Calcs'!G166,'Metric Calcs'!K166))</f>
        <v/>
      </c>
      <c r="H170" s="30" t="str">
        <f>IF(OR(H168=1,H168=""),"",IF('Metric Data'!$B$2,'Metric Calcs'!H166,'Metric Calcs'!N166))</f>
        <v/>
      </c>
      <c r="I170" s="30" t="str">
        <f>IF(OR(I168=1,I168=""),"",IF('Metric Data'!$B$2,'Metric Calcs'!K166,'Metric Calcs'!W166))</f>
        <v/>
      </c>
      <c r="J170" s="30" t="str">
        <f>IF('Metric Data'!$B$2,'Metric Calcs'!N166,"")</f>
        <v/>
      </c>
      <c r="K170" s="30" t="str">
        <f>IF('Metric Data'!$B$2,'Metric Calcs'!W166,"")</f>
        <v/>
      </c>
      <c r="L170" s="37" t="str">
        <f>IF('Metric Data'!$B$2,J170,H170)</f>
        <v/>
      </c>
      <c r="M170" s="112" t="str">
        <f>IF('Metric Data'!$B$2,K170,I170)</f>
        <v/>
      </c>
      <c r="O170" s="32" t="str">
        <f t="shared" si="25"/>
        <v/>
      </c>
      <c r="Q170" s="112">
        <f t="shared" si="22"/>
        <v>-1.803400000000005</v>
      </c>
      <c r="R170" s="32" t="str">
        <f t="shared" si="24"/>
        <v/>
      </c>
      <c r="S170" s="32" t="str">
        <f t="shared" si="23"/>
        <v/>
      </c>
      <c r="U170" s="32" t="str">
        <f t="shared" si="19"/>
        <v/>
      </c>
      <c r="X170" s="30" t="str" cm="1">
        <f t="array" ref="X170">IF($AP$21="INVERT",R170,IF(X169&gt;=$S$12,"",IF(R169="","",INDEX($R$18:$R$227,$U$17-ROWS($R$18:$R169)))))</f>
        <v/>
      </c>
      <c r="Y170" s="30" t="str">
        <f t="shared" si="20"/>
        <v/>
      </c>
      <c r="Z170" s="30" t="str">
        <f>IF(Z169="","",IF($AP$21="TYP",IF(S169="","",INDEX($S$18:$S$227,$U$17-ROWS($S$18:$S169))),IF($AP$21="INVERT",S170,"")))</f>
        <v/>
      </c>
      <c r="AA170" s="75" t="str">
        <f t="shared" si="21"/>
        <v/>
      </c>
      <c r="AB170" s="75"/>
      <c r="AC170" s="35"/>
      <c r="AD170" s="35"/>
      <c r="AE170" s="35"/>
      <c r="AF170" s="35"/>
      <c r="AG170" s="35"/>
      <c r="AH170" s="35"/>
      <c r="AI170" s="35"/>
      <c r="AJ170" s="35"/>
      <c r="AK170" s="35"/>
      <c r="AL170" s="35"/>
      <c r="AM170" s="35"/>
    </row>
    <row r="171" spans="1:39" x14ac:dyDescent="0.2">
      <c r="A171" s="32" t="str">
        <f t="shared" si="18"/>
        <v/>
      </c>
      <c r="C171" s="36" t="str">
        <f>IF(OR(C170&lt;30,C170=""),"",'Metric Calcs'!C167)</f>
        <v/>
      </c>
      <c r="D171" s="80" t="str">
        <f>IF(C171=0,"",'Metric Calcs'!D167)</f>
        <v/>
      </c>
      <c r="E171" s="80" t="str">
        <f>IF(OR(E169=1,E169=""),"",IF('Metric Data'!$B$2,'Metric Calcs'!E167,'Metric Calcs'!F167))</f>
        <v/>
      </c>
      <c r="F171" s="30" t="str">
        <f>IF(OR(F169=1,F169=""),"",IF('Metric Data'!$B$2,'Metric Calcs'!F167,'Metric Calcs'!H167))</f>
        <v/>
      </c>
      <c r="G171" s="30" t="str">
        <f>IF(OR(G169=1,G169=""),"",IF('Metric Data'!$B$2,'Metric Calcs'!G167,'Metric Calcs'!K167))</f>
        <v/>
      </c>
      <c r="H171" s="30" t="str">
        <f>IF(OR(H169=1,H169=""),"",IF('Metric Data'!$B$2,'Metric Calcs'!H167,'Metric Calcs'!N167))</f>
        <v/>
      </c>
      <c r="I171" s="30" t="str">
        <f>IF(OR(I169=1,I169=""),"",IF('Metric Data'!$B$2,'Metric Calcs'!K167,'Metric Calcs'!W167))</f>
        <v/>
      </c>
      <c r="J171" s="30" t="str">
        <f>IF('Metric Data'!$B$2,'Metric Calcs'!N167,"")</f>
        <v/>
      </c>
      <c r="K171" s="30" t="str">
        <f>IF('Metric Data'!$B$2,'Metric Calcs'!W167,"")</f>
        <v/>
      </c>
      <c r="L171" s="37" t="str">
        <f>IF('Metric Data'!$B$2,J171,H171)</f>
        <v/>
      </c>
      <c r="M171" s="112" t="str">
        <f>IF('Metric Data'!$B$2,K171,I171)</f>
        <v/>
      </c>
      <c r="O171" s="32" t="str">
        <f t="shared" si="25"/>
        <v/>
      </c>
      <c r="Q171" s="112">
        <f t="shared" si="22"/>
        <v>-1.8288000000000051</v>
      </c>
      <c r="R171" s="32" t="str">
        <f t="shared" si="24"/>
        <v/>
      </c>
      <c r="S171" s="32" t="str">
        <f t="shared" si="23"/>
        <v/>
      </c>
      <c r="U171" s="32" t="str">
        <f t="shared" si="19"/>
        <v/>
      </c>
      <c r="X171" s="30" t="str" cm="1">
        <f t="array" ref="X171">IF($AP$21="INVERT",R171,IF(X170&gt;=$S$12,"",IF(R170="","",INDEX($R$18:$R$227,$U$17-ROWS($R$18:$R170)))))</f>
        <v/>
      </c>
      <c r="Y171" s="30" t="str">
        <f t="shared" si="20"/>
        <v/>
      </c>
      <c r="Z171" s="30" t="str">
        <f>IF(Z170="","",IF($AP$21="TYP",IF(S170="","",INDEX($S$18:$S$227,$U$17-ROWS($S$18:$S170))),IF($AP$21="INVERT",S171,"")))</f>
        <v/>
      </c>
      <c r="AA171" s="75" t="str">
        <f t="shared" si="21"/>
        <v/>
      </c>
      <c r="AB171" s="75"/>
      <c r="AC171" s="35"/>
      <c r="AD171" s="35"/>
      <c r="AE171" s="35"/>
      <c r="AF171" s="35"/>
      <c r="AG171" s="35"/>
      <c r="AH171" s="35"/>
      <c r="AI171" s="35"/>
      <c r="AJ171" s="35"/>
      <c r="AK171" s="35"/>
      <c r="AL171" s="35"/>
      <c r="AM171" s="35"/>
    </row>
    <row r="172" spans="1:39" x14ac:dyDescent="0.2">
      <c r="A172" s="32" t="str">
        <f t="shared" si="18"/>
        <v/>
      </c>
      <c r="C172" s="36" t="str">
        <f>IF(OR(C171&lt;30,C171=""),"",'Metric Calcs'!C168)</f>
        <v/>
      </c>
      <c r="D172" s="80" t="str">
        <f>IF(C172=0,"",'Metric Calcs'!D168)</f>
        <v/>
      </c>
      <c r="E172" s="80" t="str">
        <f>IF(OR(E170=1,E170=""),"",IF('Metric Data'!$B$2,'Metric Calcs'!E168,'Metric Calcs'!F168))</f>
        <v/>
      </c>
      <c r="F172" s="30" t="str">
        <f>IF(OR(F170=1,F170=""),"",IF('Metric Data'!$B$2,'Metric Calcs'!F168,'Metric Calcs'!H168))</f>
        <v/>
      </c>
      <c r="G172" s="30" t="str">
        <f>IF(OR(G170=1,G170=""),"",IF('Metric Data'!$B$2,'Metric Calcs'!G168,'Metric Calcs'!K168))</f>
        <v/>
      </c>
      <c r="H172" s="30" t="str">
        <f>IF(OR(H170=1,H170=""),"",IF('Metric Data'!$B$2,'Metric Calcs'!H168,'Metric Calcs'!N168))</f>
        <v/>
      </c>
      <c r="I172" s="30" t="str">
        <f>IF(OR(I170=1,I170=""),"",IF('Metric Data'!$B$2,'Metric Calcs'!K168,'Metric Calcs'!W168))</f>
        <v/>
      </c>
      <c r="J172" s="30" t="str">
        <f>IF('Metric Data'!$B$2,'Metric Calcs'!N168,"")</f>
        <v/>
      </c>
      <c r="K172" s="30" t="str">
        <f>IF('Metric Data'!$B$2,'Metric Calcs'!W168,"")</f>
        <v/>
      </c>
      <c r="L172" s="37" t="str">
        <f>IF('Metric Data'!$B$2,J172,H172)</f>
        <v/>
      </c>
      <c r="M172" s="112" t="str">
        <f>IF('Metric Data'!$B$2,K172,I172)</f>
        <v/>
      </c>
      <c r="O172" s="32" t="str">
        <f t="shared" si="25"/>
        <v/>
      </c>
      <c r="Q172" s="112">
        <f t="shared" si="22"/>
        <v>-1.8542000000000052</v>
      </c>
      <c r="R172" s="32" t="str">
        <f t="shared" si="24"/>
        <v/>
      </c>
      <c r="S172" s="32" t="str">
        <f t="shared" si="23"/>
        <v/>
      </c>
      <c r="U172" s="32" t="str">
        <f t="shared" si="19"/>
        <v/>
      </c>
      <c r="X172" s="30" t="str" cm="1">
        <f t="array" ref="X172">IF($AP$21="INVERT",R172,IF(X171&gt;=$S$12,"",IF(R171="","",INDEX($R$18:$R$227,$U$17-ROWS($R$18:$R171)))))</f>
        <v/>
      </c>
      <c r="Y172" s="30" t="str">
        <f t="shared" si="20"/>
        <v/>
      </c>
      <c r="Z172" s="30" t="str">
        <f>IF(Z171="","",IF($AP$21="TYP",IF(S171="","",INDEX($S$18:$S$227,$U$17-ROWS($S$18:$S171))),IF($AP$21="INVERT",S172,"")))</f>
        <v/>
      </c>
      <c r="AA172" s="75" t="str">
        <f t="shared" si="21"/>
        <v/>
      </c>
      <c r="AB172" s="75"/>
      <c r="AC172" s="35"/>
      <c r="AD172" s="35"/>
      <c r="AE172" s="35"/>
      <c r="AF172" s="35"/>
      <c r="AG172" s="35"/>
      <c r="AH172" s="35"/>
      <c r="AI172" s="35"/>
      <c r="AJ172" s="35"/>
      <c r="AK172" s="35"/>
      <c r="AL172" s="35"/>
      <c r="AM172" s="35"/>
    </row>
    <row r="173" spans="1:39" x14ac:dyDescent="0.2">
      <c r="A173" s="32" t="str">
        <f t="shared" si="18"/>
        <v/>
      </c>
      <c r="C173" s="36" t="str">
        <f>IF(OR(C172&lt;30,C172=""),"",'Metric Calcs'!C169)</f>
        <v/>
      </c>
      <c r="D173" s="80" t="str">
        <f>IF(C173=0,"",'Metric Calcs'!D169)</f>
        <v/>
      </c>
      <c r="E173" s="80" t="str">
        <f>IF(OR(E171=1,E171=""),"",IF('Metric Data'!$B$2,'Metric Calcs'!E169,'Metric Calcs'!F169))</f>
        <v/>
      </c>
      <c r="F173" s="30" t="str">
        <f>IF(OR(F171=1,F171=""),"",IF('Metric Data'!$B$2,'Metric Calcs'!F169,'Metric Calcs'!H169))</f>
        <v/>
      </c>
      <c r="G173" s="30" t="str">
        <f>IF(OR(G171=1,G171=""),"",IF('Metric Data'!$B$2,'Metric Calcs'!G169,'Metric Calcs'!K169))</f>
        <v/>
      </c>
      <c r="H173" s="30" t="str">
        <f>IF(OR(H171=1,H171=""),"",IF('Metric Data'!$B$2,'Metric Calcs'!H169,'Metric Calcs'!N169))</f>
        <v/>
      </c>
      <c r="I173" s="30" t="str">
        <f>IF(OR(I171=1,I171=""),"",IF('Metric Data'!$B$2,'Metric Calcs'!K169,'Metric Calcs'!W169))</f>
        <v/>
      </c>
      <c r="J173" s="30" t="str">
        <f>IF('Metric Data'!$B$2,'Metric Calcs'!N169,"")</f>
        <v/>
      </c>
      <c r="K173" s="30" t="str">
        <f>IF('Metric Data'!$B$2,'Metric Calcs'!W169,"")</f>
        <v/>
      </c>
      <c r="L173" s="37" t="str">
        <f>IF('Metric Data'!$B$2,J173,H173)</f>
        <v/>
      </c>
      <c r="M173" s="112" t="str">
        <f>IF('Metric Data'!$B$2,K173,I173)</f>
        <v/>
      </c>
      <c r="O173" s="32" t="str">
        <f t="shared" si="25"/>
        <v/>
      </c>
      <c r="Q173" s="112">
        <f t="shared" si="22"/>
        <v>-1.8796000000000053</v>
      </c>
      <c r="R173" s="32" t="str">
        <f t="shared" si="24"/>
        <v/>
      </c>
      <c r="S173" s="32" t="str">
        <f t="shared" si="23"/>
        <v/>
      </c>
      <c r="U173" s="32" t="str">
        <f t="shared" si="19"/>
        <v/>
      </c>
      <c r="X173" s="30" t="str" cm="1">
        <f t="array" ref="X173">IF($AP$21="INVERT",R173,IF(X172&gt;=$S$12,"",IF(R172="","",INDEX($R$18:$R$227,$U$17-ROWS($R$18:$R172)))))</f>
        <v/>
      </c>
      <c r="Y173" s="30" t="str">
        <f t="shared" si="20"/>
        <v/>
      </c>
      <c r="Z173" s="30" t="str">
        <f>IF(Z172="","",IF($AP$21="TYP",IF(S172="","",INDEX($S$18:$S$227,$U$17-ROWS($S$18:$S172))),IF($AP$21="INVERT",S173,"")))</f>
        <v/>
      </c>
      <c r="AA173" s="75" t="str">
        <f t="shared" si="21"/>
        <v/>
      </c>
      <c r="AB173" s="75"/>
      <c r="AC173" s="35"/>
      <c r="AD173" s="35"/>
      <c r="AE173" s="35"/>
      <c r="AF173" s="35"/>
      <c r="AG173" s="35"/>
      <c r="AH173" s="35"/>
      <c r="AI173" s="35"/>
      <c r="AJ173" s="35"/>
      <c r="AK173" s="35"/>
      <c r="AL173" s="35"/>
      <c r="AM173" s="35"/>
    </row>
    <row r="174" spans="1:39" x14ac:dyDescent="0.2">
      <c r="A174" s="32" t="str">
        <f t="shared" si="18"/>
        <v/>
      </c>
      <c r="C174" s="36" t="str">
        <f>IF(OR(C173&lt;30,C173=""),"",'Metric Calcs'!C170)</f>
        <v/>
      </c>
      <c r="D174" s="80" t="str">
        <f>IF(C174=0,"",'Metric Calcs'!D170)</f>
        <v/>
      </c>
      <c r="E174" s="80" t="str">
        <f>IF(OR(E172=1,E172=""),"",IF('Metric Data'!$B$2,'Metric Calcs'!E170,'Metric Calcs'!F170))</f>
        <v/>
      </c>
      <c r="F174" s="30" t="str">
        <f>IF(OR(F172=1,F172=""),"",IF('Metric Data'!$B$2,'Metric Calcs'!F170,'Metric Calcs'!H170))</f>
        <v/>
      </c>
      <c r="G174" s="30" t="str">
        <f>IF(OR(G172=1,G172=""),"",IF('Metric Data'!$B$2,'Metric Calcs'!G170,'Metric Calcs'!K170))</f>
        <v/>
      </c>
      <c r="H174" s="30" t="str">
        <f>IF(OR(H172=1,H172=""),"",IF('Metric Data'!$B$2,'Metric Calcs'!H170,'Metric Calcs'!N170))</f>
        <v/>
      </c>
      <c r="I174" s="30" t="str">
        <f>IF(OR(I172=1,I172=""),"",IF('Metric Data'!$B$2,'Metric Calcs'!K170,'Metric Calcs'!W170))</f>
        <v/>
      </c>
      <c r="J174" s="30" t="str">
        <f>IF('Metric Data'!$B$2,'Metric Calcs'!N170,"")</f>
        <v/>
      </c>
      <c r="K174" s="30" t="str">
        <f>IF('Metric Data'!$B$2,'Metric Calcs'!W170,"")</f>
        <v/>
      </c>
      <c r="L174" s="37" t="str">
        <f>IF('Metric Data'!$B$2,J174,H174)</f>
        <v/>
      </c>
      <c r="M174" s="112" t="str">
        <f>IF('Metric Data'!$B$2,K174,I174)</f>
        <v/>
      </c>
      <c r="O174" s="32" t="str">
        <f t="shared" si="25"/>
        <v/>
      </c>
      <c r="Q174" s="112">
        <f t="shared" si="22"/>
        <v>-1.9050000000000054</v>
      </c>
      <c r="R174" s="32" t="str">
        <f t="shared" si="24"/>
        <v/>
      </c>
      <c r="S174" s="32" t="str">
        <f t="shared" si="23"/>
        <v/>
      </c>
      <c r="U174" s="32" t="str">
        <f t="shared" si="19"/>
        <v/>
      </c>
      <c r="X174" s="30" t="str" cm="1">
        <f t="array" ref="X174">IF($AP$21="INVERT",R174,IF(X173&gt;=$S$12,"",IF(R173="","",INDEX($R$18:$R$227,$U$17-ROWS($R$18:$R173)))))</f>
        <v/>
      </c>
      <c r="Y174" s="30" t="str">
        <f t="shared" si="20"/>
        <v/>
      </c>
      <c r="Z174" s="30" t="str">
        <f>IF(Z173="","",IF($AP$21="TYP",IF(S173="","",INDEX($S$18:$S$227,$U$17-ROWS($S$18:$S173))),IF($AP$21="INVERT",S174,"")))</f>
        <v/>
      </c>
      <c r="AA174" s="75" t="str">
        <f t="shared" si="21"/>
        <v/>
      </c>
      <c r="AB174" s="75"/>
      <c r="AC174" s="35"/>
      <c r="AD174" s="35"/>
      <c r="AE174" s="35"/>
      <c r="AF174" s="35"/>
      <c r="AG174" s="35"/>
      <c r="AH174" s="35"/>
      <c r="AI174" s="35"/>
      <c r="AJ174" s="35"/>
      <c r="AK174" s="35"/>
      <c r="AL174" s="35"/>
      <c r="AM174" s="35"/>
    </row>
    <row r="175" spans="1:39" x14ac:dyDescent="0.2">
      <c r="A175" s="32" t="str">
        <f t="shared" si="18"/>
        <v/>
      </c>
      <c r="C175" s="36" t="str">
        <f>IF(OR(C174&lt;30,C174=""),"",'Metric Calcs'!C171)</f>
        <v/>
      </c>
      <c r="D175" s="80" t="str">
        <f>IF(C175=0,"",'Metric Calcs'!D171)</f>
        <v/>
      </c>
      <c r="E175" s="80" t="str">
        <f>IF(OR(E173=1,E173=""),"",IF('Metric Data'!$B$2,'Metric Calcs'!E171,'Metric Calcs'!F171))</f>
        <v/>
      </c>
      <c r="F175" s="30" t="str">
        <f>IF(OR(F173=1,F173=""),"",IF('Metric Data'!$B$2,'Metric Calcs'!F171,'Metric Calcs'!H171))</f>
        <v/>
      </c>
      <c r="G175" s="30" t="str">
        <f>IF(OR(G173=1,G173=""),"",IF('Metric Data'!$B$2,'Metric Calcs'!G171,'Metric Calcs'!K171))</f>
        <v/>
      </c>
      <c r="H175" s="30" t="str">
        <f>IF(OR(H173=1,H173=""),"",IF('Metric Data'!$B$2,'Metric Calcs'!H171,'Metric Calcs'!N171))</f>
        <v/>
      </c>
      <c r="I175" s="30" t="str">
        <f>IF(OR(I173=1,I173=""),"",IF('Metric Data'!$B$2,'Metric Calcs'!K171,'Metric Calcs'!W171))</f>
        <v/>
      </c>
      <c r="J175" s="30" t="str">
        <f>IF('Metric Data'!$B$2,'Metric Calcs'!N171,"")</f>
        <v/>
      </c>
      <c r="K175" s="30" t="str">
        <f>IF('Metric Data'!$B$2,'Metric Calcs'!W171,"")</f>
        <v/>
      </c>
      <c r="L175" s="37" t="str">
        <f>IF('Metric Data'!$B$2,J175,H175)</f>
        <v/>
      </c>
      <c r="M175" s="112" t="str">
        <f>IF('Metric Data'!$B$2,K175,I175)</f>
        <v/>
      </c>
      <c r="O175" s="32" t="str">
        <f t="shared" si="25"/>
        <v/>
      </c>
      <c r="Q175" s="112">
        <f t="shared" si="22"/>
        <v>-1.9304000000000054</v>
      </c>
      <c r="R175" s="32" t="str">
        <f t="shared" si="24"/>
        <v/>
      </c>
      <c r="S175" s="32" t="str">
        <f t="shared" si="23"/>
        <v/>
      </c>
      <c r="U175" s="32" t="str">
        <f t="shared" si="19"/>
        <v/>
      </c>
      <c r="X175" s="30" t="str" cm="1">
        <f t="array" ref="X175">IF($AP$21="INVERT",R175,IF(X174&gt;=$S$12,"",IF(R174="","",INDEX($R$18:$R$227,$U$17-ROWS($R$18:$R174)))))</f>
        <v/>
      </c>
      <c r="Y175" s="30" t="str">
        <f t="shared" si="20"/>
        <v/>
      </c>
      <c r="Z175" s="30" t="str">
        <f>IF(Z174="","",IF($AP$21="TYP",IF(S174="","",INDEX($S$18:$S$227,$U$17-ROWS($S$18:$S174))),IF($AP$21="INVERT",S175,"")))</f>
        <v/>
      </c>
      <c r="AA175" s="75" t="str">
        <f t="shared" si="21"/>
        <v/>
      </c>
      <c r="AB175" s="75"/>
      <c r="AC175" s="35"/>
      <c r="AD175" s="35"/>
      <c r="AE175" s="35"/>
      <c r="AF175" s="35"/>
      <c r="AG175" s="35"/>
      <c r="AH175" s="35"/>
      <c r="AI175" s="35"/>
      <c r="AJ175" s="35"/>
      <c r="AK175" s="35"/>
      <c r="AL175" s="35"/>
      <c r="AM175" s="35"/>
    </row>
    <row r="176" spans="1:39" x14ac:dyDescent="0.2">
      <c r="A176" s="32" t="str">
        <f t="shared" si="18"/>
        <v/>
      </c>
      <c r="C176" s="36" t="str">
        <f>IF(OR(C175&lt;30,C175=""),"",'Metric Calcs'!C172)</f>
        <v/>
      </c>
      <c r="D176" s="80" t="str">
        <f>IF(C176=0,"",'Metric Calcs'!D172)</f>
        <v/>
      </c>
      <c r="E176" s="80" t="str">
        <f>IF(OR(E174=1,E174=""),"",IF('Metric Data'!$B$2,'Metric Calcs'!E172,'Metric Calcs'!F172))</f>
        <v/>
      </c>
      <c r="F176" s="30" t="str">
        <f>IF(OR(F174=1,F174=""),"",IF('Metric Data'!$B$2,'Metric Calcs'!F172,'Metric Calcs'!H172))</f>
        <v/>
      </c>
      <c r="G176" s="30" t="str">
        <f>IF(OR(G174=1,G174=""),"",IF('Metric Data'!$B$2,'Metric Calcs'!G172,'Metric Calcs'!K172))</f>
        <v/>
      </c>
      <c r="H176" s="30" t="str">
        <f>IF(OR(H174=1,H174=""),"",IF('Metric Data'!$B$2,'Metric Calcs'!H172,'Metric Calcs'!N172))</f>
        <v/>
      </c>
      <c r="I176" s="30" t="str">
        <f>IF(OR(I174=1,I174=""),"",IF('Metric Data'!$B$2,'Metric Calcs'!K172,'Metric Calcs'!W172))</f>
        <v/>
      </c>
      <c r="J176" s="30" t="str">
        <f>IF('Metric Data'!$B$2,'Metric Calcs'!N172,"")</f>
        <v/>
      </c>
      <c r="K176" s="30" t="str">
        <f>IF('Metric Data'!$B$2,'Metric Calcs'!W172,"")</f>
        <v/>
      </c>
      <c r="L176" s="37" t="str">
        <f>IF('Metric Data'!$B$2,J176,H176)</f>
        <v/>
      </c>
      <c r="M176" s="112" t="str">
        <f>IF('Metric Data'!$B$2,K176,I176)</f>
        <v/>
      </c>
      <c r="O176" s="32" t="str">
        <f t="shared" si="25"/>
        <v/>
      </c>
      <c r="Q176" s="112">
        <f t="shared" si="22"/>
        <v>-1.9558000000000055</v>
      </c>
      <c r="R176" s="32" t="str">
        <f t="shared" si="24"/>
        <v/>
      </c>
      <c r="S176" s="32" t="str">
        <f t="shared" si="23"/>
        <v/>
      </c>
      <c r="U176" s="32" t="str">
        <f t="shared" si="19"/>
        <v/>
      </c>
      <c r="X176" s="30" t="str" cm="1">
        <f t="array" ref="X176">IF($AP$21="INVERT",R176,IF(X175&gt;=$S$12,"",IF(R175="","",INDEX($R$18:$R$227,$U$17-ROWS($R$18:$R175)))))</f>
        <v/>
      </c>
      <c r="Y176" s="30" t="str">
        <f t="shared" si="20"/>
        <v/>
      </c>
      <c r="Z176" s="30" t="str">
        <f>IF(Z175="","",IF($AP$21="TYP",IF(S175="","",INDEX($S$18:$S$227,$U$17-ROWS($S$18:$S175))),IF($AP$21="INVERT",S176,"")))</f>
        <v/>
      </c>
      <c r="AA176" s="75" t="str">
        <f t="shared" si="21"/>
        <v/>
      </c>
      <c r="AB176" s="75"/>
      <c r="AC176" s="35"/>
      <c r="AD176" s="35"/>
      <c r="AE176" s="35"/>
      <c r="AF176" s="35"/>
      <c r="AG176" s="35"/>
      <c r="AH176" s="35"/>
      <c r="AI176" s="35"/>
      <c r="AJ176" s="35"/>
      <c r="AK176" s="35"/>
      <c r="AL176" s="35"/>
      <c r="AM176" s="35"/>
    </row>
    <row r="177" spans="1:39" x14ac:dyDescent="0.2">
      <c r="A177" s="32" t="str">
        <f t="shared" si="18"/>
        <v/>
      </c>
      <c r="C177" s="36" t="str">
        <f>IF(OR(C176&lt;30,C176=""),"",'Metric Calcs'!C173)</f>
        <v/>
      </c>
      <c r="D177" s="80" t="str">
        <f>IF(C177=0,"",'Metric Calcs'!D173)</f>
        <v/>
      </c>
      <c r="E177" s="80" t="str">
        <f>IF(OR(E175=1,E175=""),"",IF('Metric Data'!$B$2,'Metric Calcs'!E173,'Metric Calcs'!F173))</f>
        <v/>
      </c>
      <c r="F177" s="30" t="str">
        <f>IF(OR(F175=1,F175=""),"",IF('Metric Data'!$B$2,'Metric Calcs'!F173,'Metric Calcs'!H173))</f>
        <v/>
      </c>
      <c r="G177" s="30" t="str">
        <f>IF(OR(G175=1,G175=""),"",IF('Metric Data'!$B$2,'Metric Calcs'!G173,'Metric Calcs'!K173))</f>
        <v/>
      </c>
      <c r="H177" s="30" t="str">
        <f>IF(OR(H175=1,H175=""),"",IF('Metric Data'!$B$2,'Metric Calcs'!H173,'Metric Calcs'!N173))</f>
        <v/>
      </c>
      <c r="I177" s="30" t="str">
        <f>IF(OR(I175=1,I175=""),"",IF('Metric Data'!$B$2,'Metric Calcs'!K173,'Metric Calcs'!W173))</f>
        <v/>
      </c>
      <c r="J177" s="30" t="str">
        <f>IF('Metric Data'!$B$2,'Metric Calcs'!N173,"")</f>
        <v/>
      </c>
      <c r="K177" s="30" t="str">
        <f>IF('Metric Data'!$B$2,'Metric Calcs'!W173,"")</f>
        <v/>
      </c>
      <c r="L177" s="37" t="str">
        <f>IF('Metric Data'!$B$2,J177,H177)</f>
        <v/>
      </c>
      <c r="M177" s="112" t="str">
        <f>IF('Metric Data'!$B$2,K177,I177)</f>
        <v/>
      </c>
      <c r="O177" s="32" t="str">
        <f t="shared" si="25"/>
        <v/>
      </c>
      <c r="Q177" s="112">
        <f t="shared" si="22"/>
        <v>-1.9812000000000056</v>
      </c>
      <c r="R177" s="32" t="str">
        <f t="shared" si="24"/>
        <v/>
      </c>
      <c r="S177" s="32" t="str">
        <f t="shared" si="23"/>
        <v/>
      </c>
      <c r="U177" s="32" t="str">
        <f t="shared" si="19"/>
        <v/>
      </c>
      <c r="X177" s="30" t="str" cm="1">
        <f t="array" ref="X177">IF($AP$21="INVERT",R177,IF(X176&gt;=$S$12,"",IF(R176="","",INDEX($R$18:$R$227,$U$17-ROWS($R$18:$R176)))))</f>
        <v/>
      </c>
      <c r="Y177" s="30" t="str">
        <f t="shared" si="20"/>
        <v/>
      </c>
      <c r="Z177" s="30" t="str">
        <f>IF(Z176="","",IF($AP$21="TYP",IF(S176="","",INDEX($S$18:$S$227,$U$17-ROWS($S$18:$S176))),IF($AP$21="INVERT",S177,"")))</f>
        <v/>
      </c>
      <c r="AA177" s="75" t="str">
        <f t="shared" si="21"/>
        <v/>
      </c>
      <c r="AB177" s="75"/>
      <c r="AC177" s="35"/>
      <c r="AD177" s="35"/>
      <c r="AE177" s="35"/>
      <c r="AF177" s="35"/>
      <c r="AG177" s="35"/>
      <c r="AH177" s="35"/>
      <c r="AI177" s="35"/>
      <c r="AJ177" s="35"/>
      <c r="AK177" s="35"/>
      <c r="AL177" s="35"/>
      <c r="AM177" s="35"/>
    </row>
    <row r="178" spans="1:39" x14ac:dyDescent="0.2">
      <c r="A178" s="32" t="str">
        <f t="shared" si="18"/>
        <v/>
      </c>
      <c r="C178" s="36" t="str">
        <f>IF(OR(C177&lt;30,C177=""),"",'Metric Calcs'!C174)</f>
        <v/>
      </c>
      <c r="D178" s="80" t="str">
        <f>IF(C178=0,"",'Metric Calcs'!D174)</f>
        <v/>
      </c>
      <c r="E178" s="80" t="str">
        <f>IF(OR(E176=1,E176=""),"",IF('Metric Data'!$B$2,'Metric Calcs'!E174,'Metric Calcs'!F174))</f>
        <v/>
      </c>
      <c r="F178" s="30" t="str">
        <f>IF(OR(F176=1,F176=""),"",IF('Metric Data'!$B$2,'Metric Calcs'!F174,'Metric Calcs'!H174))</f>
        <v/>
      </c>
      <c r="G178" s="30" t="str">
        <f>IF(OR(G176=1,G176=""),"",IF('Metric Data'!$B$2,'Metric Calcs'!G174,'Metric Calcs'!K174))</f>
        <v/>
      </c>
      <c r="H178" s="30" t="str">
        <f>IF(OR(H176=1,H176=""),"",IF('Metric Data'!$B$2,'Metric Calcs'!H174,'Metric Calcs'!N174))</f>
        <v/>
      </c>
      <c r="I178" s="30" t="str">
        <f>IF(OR(I176=1,I176=""),"",IF('Metric Data'!$B$2,'Metric Calcs'!K174,'Metric Calcs'!W174))</f>
        <v/>
      </c>
      <c r="J178" s="30" t="str">
        <f>IF('Metric Data'!$B$2,'Metric Calcs'!N174,"")</f>
        <v/>
      </c>
      <c r="K178" s="30" t="str">
        <f>IF('Metric Data'!$B$2,'Metric Calcs'!W174,"")</f>
        <v/>
      </c>
      <c r="L178" s="37" t="str">
        <f>IF('Metric Data'!$B$2,J178,H178)</f>
        <v/>
      </c>
      <c r="M178" s="112" t="str">
        <f>IF('Metric Data'!$B$2,K178,I178)</f>
        <v/>
      </c>
      <c r="O178" s="32" t="str">
        <f t="shared" si="25"/>
        <v/>
      </c>
      <c r="Q178" s="112">
        <f t="shared" si="22"/>
        <v>-2.0066000000000055</v>
      </c>
      <c r="R178" s="32" t="str">
        <f t="shared" si="24"/>
        <v/>
      </c>
      <c r="S178" s="32" t="str">
        <f t="shared" si="23"/>
        <v/>
      </c>
      <c r="U178" s="32" t="str">
        <f t="shared" si="19"/>
        <v/>
      </c>
      <c r="X178" s="30" t="str" cm="1">
        <f t="array" ref="X178">IF($AP$21="INVERT",R178,IF(X177&gt;=$S$12,"",IF(R177="","",INDEX($R$18:$R$227,$U$17-ROWS($R$18:$R177)))))</f>
        <v/>
      </c>
      <c r="Y178" s="30" t="str">
        <f t="shared" si="20"/>
        <v/>
      </c>
      <c r="Z178" s="30" t="str">
        <f>IF(Z177="","",IF($AP$21="TYP",IF(S177="","",INDEX($S$18:$S$227,$U$17-ROWS($S$18:$S177))),IF($AP$21="INVERT",S178,"")))</f>
        <v/>
      </c>
      <c r="AA178" s="75" t="str">
        <f t="shared" si="21"/>
        <v/>
      </c>
      <c r="AB178" s="75"/>
      <c r="AC178" s="35"/>
      <c r="AD178" s="35"/>
      <c r="AE178" s="35"/>
      <c r="AF178" s="35"/>
      <c r="AG178" s="35"/>
      <c r="AH178" s="35"/>
      <c r="AI178" s="35"/>
      <c r="AJ178" s="35"/>
      <c r="AK178" s="35"/>
      <c r="AL178" s="35"/>
      <c r="AM178" s="35"/>
    </row>
    <row r="179" spans="1:39" x14ac:dyDescent="0.2">
      <c r="A179" s="32" t="str">
        <f t="shared" si="18"/>
        <v/>
      </c>
      <c r="C179" s="36" t="str">
        <f>IF(OR(C178&lt;30,C178=""),"",'Metric Calcs'!C175)</f>
        <v/>
      </c>
      <c r="D179" s="80" t="str">
        <f>IF(C179=0,"",'Metric Calcs'!D175)</f>
        <v/>
      </c>
      <c r="E179" s="80" t="str">
        <f>IF(OR(E177=1,E177=""),"",IF('Metric Data'!$B$2,'Metric Calcs'!E175,'Metric Calcs'!F175))</f>
        <v/>
      </c>
      <c r="F179" s="30" t="str">
        <f>IF(OR(F177=1,F177=""),"",IF('Metric Data'!$B$2,'Metric Calcs'!F175,'Metric Calcs'!H175))</f>
        <v/>
      </c>
      <c r="G179" s="30" t="str">
        <f>IF(OR(G177=1,G177=""),"",IF('Metric Data'!$B$2,'Metric Calcs'!G175,'Metric Calcs'!K175))</f>
        <v/>
      </c>
      <c r="H179" s="30" t="str">
        <f>IF(OR(H177=1,H177=""),"",IF('Metric Data'!$B$2,'Metric Calcs'!H175,'Metric Calcs'!N175))</f>
        <v/>
      </c>
      <c r="I179" s="30" t="str">
        <f>IF(OR(I177=1,I177=""),"",IF('Metric Data'!$B$2,'Metric Calcs'!K175,'Metric Calcs'!W175))</f>
        <v/>
      </c>
      <c r="J179" s="30" t="str">
        <f>IF('Metric Data'!$B$2,'Metric Calcs'!N175,"")</f>
        <v/>
      </c>
      <c r="K179" s="30" t="str">
        <f>IF('Metric Data'!$B$2,'Metric Calcs'!W175,"")</f>
        <v/>
      </c>
      <c r="L179" s="37" t="str">
        <f>IF('Metric Data'!$B$2,J179,H179)</f>
        <v/>
      </c>
      <c r="M179" s="112" t="str">
        <f>IF('Metric Data'!$B$2,K179,I179)</f>
        <v/>
      </c>
      <c r="O179" s="32" t="str">
        <f t="shared" si="25"/>
        <v/>
      </c>
      <c r="Q179" s="112">
        <f t="shared" si="22"/>
        <v>-2.0320000000000054</v>
      </c>
      <c r="R179" s="32" t="str">
        <f t="shared" si="24"/>
        <v/>
      </c>
      <c r="S179" s="32" t="str">
        <f t="shared" si="23"/>
        <v/>
      </c>
      <c r="U179" s="32" t="str">
        <f t="shared" si="19"/>
        <v/>
      </c>
      <c r="X179" s="30" t="str" cm="1">
        <f t="array" ref="X179">IF($AP$21="INVERT",R179,IF(X178&gt;=$S$12,"",IF(R178="","",INDEX($R$18:$R$227,$U$17-ROWS($R$18:$R178)))))</f>
        <v/>
      </c>
      <c r="Y179" s="30" t="str">
        <f t="shared" si="20"/>
        <v/>
      </c>
      <c r="Z179" s="30" t="str">
        <f>IF(Z178="","",IF($AP$21="TYP",IF(S178="","",INDEX($S$18:$S$227,$U$17-ROWS($S$18:$S178))),IF($AP$21="INVERT",S179,"")))</f>
        <v/>
      </c>
      <c r="AA179" s="75" t="str">
        <f t="shared" si="21"/>
        <v/>
      </c>
      <c r="AB179" s="75"/>
      <c r="AC179" s="35"/>
      <c r="AD179" s="35"/>
      <c r="AE179" s="35"/>
      <c r="AF179" s="35"/>
      <c r="AG179" s="35"/>
      <c r="AH179" s="35"/>
      <c r="AI179" s="35"/>
      <c r="AJ179" s="35"/>
      <c r="AK179" s="35"/>
      <c r="AL179" s="35"/>
      <c r="AM179" s="35"/>
    </row>
    <row r="180" spans="1:39" x14ac:dyDescent="0.2">
      <c r="A180" s="32" t="str">
        <f t="shared" si="18"/>
        <v/>
      </c>
      <c r="C180" s="36" t="str">
        <f>IF(OR(C179&lt;30,C179=""),"",'Metric Calcs'!C176)</f>
        <v/>
      </c>
      <c r="D180" s="80" t="str">
        <f>IF(C180=0,"",'Metric Calcs'!D176)</f>
        <v/>
      </c>
      <c r="E180" s="80" t="str">
        <f>IF(OR(E178=1,E178=""),"",IF('Metric Data'!$B$2,'Metric Calcs'!E176,'Metric Calcs'!F176))</f>
        <v/>
      </c>
      <c r="F180" s="30" t="str">
        <f>IF(OR(F178=1,F178=""),"",IF('Metric Data'!$B$2,'Metric Calcs'!F176,'Metric Calcs'!H176))</f>
        <v/>
      </c>
      <c r="G180" s="30" t="str">
        <f>IF(OR(G178=1,G178=""),"",IF('Metric Data'!$B$2,'Metric Calcs'!G176,'Metric Calcs'!K176))</f>
        <v/>
      </c>
      <c r="H180" s="30" t="str">
        <f>IF(OR(H178=1,H178=""),"",IF('Metric Data'!$B$2,'Metric Calcs'!H176,'Metric Calcs'!N176))</f>
        <v/>
      </c>
      <c r="I180" s="30" t="str">
        <f>IF(OR(I178=1,I178=""),"",IF('Metric Data'!$B$2,'Metric Calcs'!K176,'Metric Calcs'!W176))</f>
        <v/>
      </c>
      <c r="J180" s="30" t="str">
        <f>IF('Metric Data'!$B$2,'Metric Calcs'!N176,"")</f>
        <v/>
      </c>
      <c r="K180" s="30" t="str">
        <f>IF('Metric Data'!$B$2,'Metric Calcs'!W176,"")</f>
        <v/>
      </c>
      <c r="L180" s="37" t="str">
        <f>IF('Metric Data'!$B$2,J180,H180)</f>
        <v/>
      </c>
      <c r="M180" s="112" t="str">
        <f>IF('Metric Data'!$B$2,K180,I180)</f>
        <v/>
      </c>
      <c r="O180" s="32" t="str">
        <f t="shared" si="25"/>
        <v/>
      </c>
      <c r="Q180" s="112">
        <f t="shared" si="22"/>
        <v>-2.0574000000000052</v>
      </c>
      <c r="R180" s="32" t="str">
        <f t="shared" si="24"/>
        <v/>
      </c>
      <c r="S180" s="32" t="str">
        <f t="shared" si="23"/>
        <v/>
      </c>
      <c r="U180" s="32" t="str">
        <f t="shared" si="19"/>
        <v/>
      </c>
      <c r="X180" s="30" t="str" cm="1">
        <f t="array" ref="X180">IF($AP$21="INVERT",R180,IF(X179&gt;=$S$12,"",IF(R179="","",INDEX($R$18:$R$227,$U$17-ROWS($R$18:$R179)))))</f>
        <v/>
      </c>
      <c r="Y180" s="30" t="str">
        <f t="shared" si="20"/>
        <v/>
      </c>
      <c r="Z180" s="30" t="str">
        <f>IF(Z179="","",IF($AP$21="TYP",IF(S179="","",INDEX($S$18:$S$227,$U$17-ROWS($S$18:$S179))),IF($AP$21="INVERT",S180,"")))</f>
        <v/>
      </c>
      <c r="AA180" s="75" t="str">
        <f t="shared" si="21"/>
        <v/>
      </c>
      <c r="AB180" s="75"/>
      <c r="AC180" s="35"/>
      <c r="AD180" s="35"/>
      <c r="AE180" s="35"/>
      <c r="AF180" s="35"/>
      <c r="AG180" s="35"/>
      <c r="AH180" s="35"/>
      <c r="AI180" s="35"/>
      <c r="AJ180" s="35"/>
      <c r="AK180" s="35"/>
      <c r="AL180" s="35"/>
      <c r="AM180" s="35"/>
    </row>
    <row r="181" spans="1:39" x14ac:dyDescent="0.2">
      <c r="A181" s="32" t="str">
        <f t="shared" si="18"/>
        <v/>
      </c>
      <c r="C181" s="36" t="str">
        <f>IF(OR(C180&lt;30,C180=""),"",'Metric Calcs'!C177)</f>
        <v/>
      </c>
      <c r="D181" s="80" t="str">
        <f>IF(C181=0,"",'Metric Calcs'!D177)</f>
        <v/>
      </c>
      <c r="E181" s="80" t="str">
        <f>IF(OR(E179=1,E179=""),"",IF('Metric Data'!$B$2,'Metric Calcs'!E177,'Metric Calcs'!F177))</f>
        <v/>
      </c>
      <c r="F181" s="30" t="str">
        <f>IF(OR(F179=1,F179=""),"",IF('Metric Data'!$B$2,'Metric Calcs'!F177,'Metric Calcs'!H177))</f>
        <v/>
      </c>
      <c r="G181" s="30" t="str">
        <f>IF(OR(G179=1,G179=""),"",IF('Metric Data'!$B$2,'Metric Calcs'!G177,'Metric Calcs'!K177))</f>
        <v/>
      </c>
      <c r="H181" s="30" t="str">
        <f>IF(OR(H179=1,H179=""),"",IF('Metric Data'!$B$2,'Metric Calcs'!H177,'Metric Calcs'!N177))</f>
        <v/>
      </c>
      <c r="I181" s="30" t="str">
        <f>IF(OR(I179=1,I179=""),"",IF('Metric Data'!$B$2,'Metric Calcs'!K177,'Metric Calcs'!W177))</f>
        <v/>
      </c>
      <c r="J181" s="30" t="str">
        <f>IF('Metric Data'!$B$2,'Metric Calcs'!N177,"")</f>
        <v/>
      </c>
      <c r="K181" s="30" t="str">
        <f>IF('Metric Data'!$B$2,'Metric Calcs'!W177,"")</f>
        <v/>
      </c>
      <c r="L181" s="37" t="str">
        <f>IF('Metric Data'!$B$2,J181,H181)</f>
        <v/>
      </c>
      <c r="M181" s="112" t="str">
        <f>IF('Metric Data'!$B$2,K181,I181)</f>
        <v/>
      </c>
      <c r="O181" s="32" t="str">
        <f t="shared" si="25"/>
        <v/>
      </c>
      <c r="Q181" s="112">
        <f t="shared" si="22"/>
        <v>-2.0828000000000051</v>
      </c>
      <c r="R181" s="32" t="str">
        <f t="shared" si="24"/>
        <v/>
      </c>
      <c r="S181" s="32" t="str">
        <f t="shared" si="23"/>
        <v/>
      </c>
      <c r="U181" s="32" t="str">
        <f t="shared" si="19"/>
        <v/>
      </c>
      <c r="X181" s="30" t="str" cm="1">
        <f t="array" ref="X181">IF($AP$21="INVERT",R181,IF(X180&gt;=$S$12,"",IF(R180="","",INDEX($R$18:$R$227,$U$17-ROWS($R$18:$R180)))))</f>
        <v/>
      </c>
      <c r="Y181" s="30" t="str">
        <f t="shared" si="20"/>
        <v/>
      </c>
      <c r="Z181" s="30" t="str">
        <f>IF(Z180="","",IF($AP$21="TYP",IF(S180="","",INDEX($S$18:$S$227,$U$17-ROWS($S$18:$S180))),IF($AP$21="INVERT",S181,"")))</f>
        <v/>
      </c>
      <c r="AA181" s="75" t="str">
        <f t="shared" si="21"/>
        <v/>
      </c>
      <c r="AB181" s="75"/>
      <c r="AC181" s="35"/>
      <c r="AD181" s="35"/>
      <c r="AE181" s="35"/>
      <c r="AF181" s="35"/>
      <c r="AG181" s="35"/>
      <c r="AH181" s="35"/>
      <c r="AI181" s="35"/>
      <c r="AJ181" s="35"/>
      <c r="AK181" s="35"/>
      <c r="AL181" s="35"/>
      <c r="AM181" s="35"/>
    </row>
    <row r="182" spans="1:39" x14ac:dyDescent="0.2">
      <c r="A182" s="32" t="str">
        <f t="shared" si="18"/>
        <v/>
      </c>
      <c r="C182" s="36" t="str">
        <f>IF(OR(C181&lt;30,C181=""),"",'Metric Calcs'!C178)</f>
        <v/>
      </c>
      <c r="D182" s="80" t="str">
        <f>IF(C182=0,"",'Metric Calcs'!D178)</f>
        <v/>
      </c>
      <c r="E182" s="80" t="str">
        <f>IF(OR(E180=1,E180=""),"",IF('Metric Data'!$B$2,'Metric Calcs'!E178,'Metric Calcs'!F178))</f>
        <v/>
      </c>
      <c r="F182" s="30" t="str">
        <f>IF(OR(F180=1,F180=""),"",IF('Metric Data'!$B$2,'Metric Calcs'!F178,'Metric Calcs'!H178))</f>
        <v/>
      </c>
      <c r="G182" s="30" t="str">
        <f>IF(OR(G180=1,G180=""),"",IF('Metric Data'!$B$2,'Metric Calcs'!G178,'Metric Calcs'!K178))</f>
        <v/>
      </c>
      <c r="H182" s="30" t="str">
        <f>IF(OR(H180=1,H180=""),"",IF('Metric Data'!$B$2,'Metric Calcs'!H178,'Metric Calcs'!N178))</f>
        <v/>
      </c>
      <c r="I182" s="30" t="str">
        <f>IF(OR(I180=1,I180=""),"",IF('Metric Data'!$B$2,'Metric Calcs'!K178,'Metric Calcs'!W178))</f>
        <v/>
      </c>
      <c r="J182" s="30" t="str">
        <f>IF('Metric Data'!$B$2,'Metric Calcs'!N178,"")</f>
        <v/>
      </c>
      <c r="K182" s="30" t="str">
        <f>IF('Metric Data'!$B$2,'Metric Calcs'!W178,"")</f>
        <v/>
      </c>
      <c r="L182" s="37" t="str">
        <f>IF('Metric Data'!$B$2,J182,H182)</f>
        <v/>
      </c>
      <c r="M182" s="112" t="str">
        <f>IF('Metric Data'!$B$2,K182,I182)</f>
        <v/>
      </c>
      <c r="O182" s="32" t="str">
        <f t="shared" si="25"/>
        <v/>
      </c>
      <c r="Q182" s="112">
        <f t="shared" si="22"/>
        <v>-2.108200000000005</v>
      </c>
      <c r="R182" s="32" t="str">
        <f t="shared" si="24"/>
        <v/>
      </c>
      <c r="S182" s="32" t="str">
        <f t="shared" si="23"/>
        <v/>
      </c>
      <c r="U182" s="32" t="str">
        <f t="shared" si="19"/>
        <v/>
      </c>
      <c r="X182" s="30" t="str" cm="1">
        <f t="array" ref="X182">IF($AP$21="INVERT",R182,IF(X181&gt;=$S$12,"",IF(R181="","",INDEX($R$18:$R$227,$U$17-ROWS($R$18:$R181)))))</f>
        <v/>
      </c>
      <c r="Y182" s="30" t="str">
        <f t="shared" si="20"/>
        <v/>
      </c>
      <c r="Z182" s="30" t="str">
        <f>IF(Z181="","",IF($AP$21="TYP",IF(S181="","",INDEX($S$18:$S$227,$U$17-ROWS($S$18:$S181))),IF($AP$21="INVERT",S182,"")))</f>
        <v/>
      </c>
      <c r="AA182" s="75" t="str">
        <f t="shared" si="21"/>
        <v/>
      </c>
      <c r="AB182" s="75"/>
      <c r="AC182" s="35"/>
      <c r="AD182" s="35"/>
      <c r="AE182" s="35"/>
      <c r="AF182" s="35"/>
      <c r="AG182" s="35"/>
      <c r="AH182" s="35"/>
      <c r="AI182" s="35"/>
      <c r="AJ182" s="35"/>
      <c r="AK182" s="35"/>
      <c r="AL182" s="35"/>
      <c r="AM182" s="35"/>
    </row>
    <row r="183" spans="1:39" x14ac:dyDescent="0.2">
      <c r="A183" s="32" t="str">
        <f t="shared" si="18"/>
        <v/>
      </c>
      <c r="C183" s="36" t="str">
        <f>IF(OR(C182&lt;30,C182=""),"",'Metric Calcs'!C179)</f>
        <v/>
      </c>
      <c r="D183" s="80" t="str">
        <f>IF(C183=0,"",'Metric Calcs'!D179)</f>
        <v/>
      </c>
      <c r="E183" s="80" t="str">
        <f>IF(OR(E181=1,E181=""),"",IF('Metric Data'!$B$2,'Metric Calcs'!E179,'Metric Calcs'!F179))</f>
        <v/>
      </c>
      <c r="F183" s="30" t="str">
        <f>IF(OR(F181=1,F181=""),"",IF('Metric Data'!$B$2,'Metric Calcs'!F179,'Metric Calcs'!H179))</f>
        <v/>
      </c>
      <c r="G183" s="30" t="str">
        <f>IF(OR(G181=1,G181=""),"",IF('Metric Data'!$B$2,'Metric Calcs'!G179,'Metric Calcs'!K179))</f>
        <v/>
      </c>
      <c r="H183" s="30" t="str">
        <f>IF(OR(H181=1,H181=""),"",IF('Metric Data'!$B$2,'Metric Calcs'!H179,'Metric Calcs'!N179))</f>
        <v/>
      </c>
      <c r="I183" s="30" t="str">
        <f>IF(OR(I181=1,I181=""),"",IF('Metric Data'!$B$2,'Metric Calcs'!K179,'Metric Calcs'!W179))</f>
        <v/>
      </c>
      <c r="J183" s="30" t="str">
        <f>IF('Metric Data'!$B$2,'Metric Calcs'!N179,"")</f>
        <v/>
      </c>
      <c r="K183" s="30" t="str">
        <f>IF('Metric Data'!$B$2,'Metric Calcs'!W179,"")</f>
        <v/>
      </c>
      <c r="L183" s="37" t="str">
        <f>IF('Metric Data'!$B$2,J183,H183)</f>
        <v/>
      </c>
      <c r="M183" s="112" t="str">
        <f>IF('Metric Data'!$B$2,K183,I183)</f>
        <v/>
      </c>
      <c r="O183" s="32" t="str">
        <f t="shared" si="25"/>
        <v/>
      </c>
      <c r="Q183" s="112">
        <f t="shared" si="22"/>
        <v>-2.1336000000000048</v>
      </c>
      <c r="R183" s="32" t="str">
        <f t="shared" si="24"/>
        <v/>
      </c>
      <c r="S183" s="32" t="str">
        <f t="shared" si="23"/>
        <v/>
      </c>
      <c r="U183" s="32" t="str">
        <f t="shared" si="19"/>
        <v/>
      </c>
      <c r="X183" s="30" t="str" cm="1">
        <f t="array" ref="X183">IF($AP$21="INVERT",R183,IF(X182&gt;=$S$12,"",IF(R182="","",INDEX($R$18:$R$227,$U$17-ROWS($R$18:$R182)))))</f>
        <v/>
      </c>
      <c r="Y183" s="30" t="str">
        <f t="shared" si="20"/>
        <v/>
      </c>
      <c r="Z183" s="30" t="str">
        <f>IF(Z182="","",IF($AP$21="TYP",IF(S182="","",INDEX($S$18:$S$227,$U$17-ROWS($S$18:$S182))),IF($AP$21="INVERT",S183,"")))</f>
        <v/>
      </c>
      <c r="AA183" s="75" t="str">
        <f t="shared" si="21"/>
        <v/>
      </c>
      <c r="AB183" s="75"/>
      <c r="AC183" s="35"/>
      <c r="AD183" s="35"/>
      <c r="AE183" s="35"/>
      <c r="AF183" s="35"/>
      <c r="AG183" s="35"/>
      <c r="AH183" s="35"/>
      <c r="AI183" s="35"/>
      <c r="AJ183" s="35"/>
      <c r="AK183" s="35"/>
      <c r="AL183" s="35"/>
      <c r="AM183" s="35"/>
    </row>
    <row r="184" spans="1:39" x14ac:dyDescent="0.2">
      <c r="A184" s="32" t="str">
        <f t="shared" si="18"/>
        <v/>
      </c>
      <c r="C184" s="36" t="str">
        <f>IF(OR(C183&lt;30,C183=""),"",'Metric Calcs'!C180)</f>
        <v/>
      </c>
      <c r="D184" s="80" t="str">
        <f>IF(C184=0,"",'Metric Calcs'!D180)</f>
        <v/>
      </c>
      <c r="E184" s="80" t="str">
        <f>IF(OR(E182=1,E182=""),"",IF('Metric Data'!$B$2,'Metric Calcs'!E180,'Metric Calcs'!F180))</f>
        <v/>
      </c>
      <c r="F184" s="30" t="str">
        <f>IF(OR(F182=1,F182=""),"",IF('Metric Data'!$B$2,'Metric Calcs'!F180,'Metric Calcs'!H180))</f>
        <v/>
      </c>
      <c r="G184" s="30" t="str">
        <f>IF(OR(G182=1,G182=""),"",IF('Metric Data'!$B$2,'Metric Calcs'!G180,'Metric Calcs'!K180))</f>
        <v/>
      </c>
      <c r="H184" s="30" t="str">
        <f>IF(OR(H182=1,H182=""),"",IF('Metric Data'!$B$2,'Metric Calcs'!H180,'Metric Calcs'!N180))</f>
        <v/>
      </c>
      <c r="I184" s="30" t="str">
        <f>IF(OR(I182=1,I182=""),"",IF('Metric Data'!$B$2,'Metric Calcs'!K180,'Metric Calcs'!W180))</f>
        <v/>
      </c>
      <c r="J184" s="30" t="str">
        <f>IF('Metric Data'!$B$2,'Metric Calcs'!N180,"")</f>
        <v/>
      </c>
      <c r="K184" s="30" t="str">
        <f>IF('Metric Data'!$B$2,'Metric Calcs'!W180,"")</f>
        <v/>
      </c>
      <c r="L184" s="37" t="str">
        <f>IF('Metric Data'!$B$2,J184,H184)</f>
        <v/>
      </c>
      <c r="M184" s="112" t="str">
        <f>IF('Metric Data'!$B$2,K184,I184)</f>
        <v/>
      </c>
      <c r="O184" s="32" t="str">
        <f t="shared" si="25"/>
        <v/>
      </c>
      <c r="Q184" s="112">
        <f t="shared" si="22"/>
        <v>-2.1590000000000047</v>
      </c>
      <c r="R184" s="32" t="str">
        <f t="shared" si="24"/>
        <v/>
      </c>
      <c r="S184" s="32" t="str">
        <f t="shared" si="23"/>
        <v/>
      </c>
      <c r="U184" s="32" t="str">
        <f t="shared" si="19"/>
        <v/>
      </c>
      <c r="X184" s="30" t="str" cm="1">
        <f t="array" ref="X184">IF($AP$21="INVERT",R184,IF(X183&gt;=$S$12,"",IF(R183="","",INDEX($R$18:$R$227,$U$17-ROWS($R$18:$R183)))))</f>
        <v/>
      </c>
      <c r="Y184" s="30" t="str">
        <f t="shared" si="20"/>
        <v/>
      </c>
      <c r="Z184" s="30" t="str">
        <f>IF(Z183="","",IF($AP$21="TYP",IF(S183="","",INDEX($S$18:$S$227,$U$17-ROWS($S$18:$S183))),IF($AP$21="INVERT",S184,"")))</f>
        <v/>
      </c>
      <c r="AA184" s="75" t="str">
        <f t="shared" si="21"/>
        <v/>
      </c>
      <c r="AB184" s="75"/>
      <c r="AC184" s="35"/>
      <c r="AD184" s="35"/>
      <c r="AE184" s="35"/>
      <c r="AF184" s="35"/>
      <c r="AG184" s="35"/>
      <c r="AH184" s="35"/>
      <c r="AI184" s="35"/>
      <c r="AJ184" s="35"/>
      <c r="AK184" s="35"/>
      <c r="AL184" s="35"/>
      <c r="AM184" s="35"/>
    </row>
    <row r="185" spans="1:39" x14ac:dyDescent="0.2">
      <c r="A185" s="32" t="str">
        <f t="shared" si="18"/>
        <v/>
      </c>
      <c r="C185" s="36" t="str">
        <f>IF(OR(C184&lt;30,C184=""),"",'Metric Calcs'!C181)</f>
        <v/>
      </c>
      <c r="D185" s="80" t="str">
        <f>IF(C185=0,"",'Metric Calcs'!D181)</f>
        <v/>
      </c>
      <c r="E185" s="80" t="str">
        <f>IF(OR(E183=1,E183=""),"",IF('Metric Data'!$B$2,'Metric Calcs'!E181,'Metric Calcs'!F181))</f>
        <v/>
      </c>
      <c r="F185" s="30" t="str">
        <f>IF(OR(F183=1,F183=""),"",IF('Metric Data'!$B$2,'Metric Calcs'!F181,'Metric Calcs'!H181))</f>
        <v/>
      </c>
      <c r="G185" s="30" t="str">
        <f>IF(OR(G183=1,G183=""),"",IF('Metric Data'!$B$2,'Metric Calcs'!G181,'Metric Calcs'!K181))</f>
        <v/>
      </c>
      <c r="H185" s="30" t="str">
        <f>IF(OR(H183=1,H183=""),"",IF('Metric Data'!$B$2,'Metric Calcs'!H181,'Metric Calcs'!N181))</f>
        <v/>
      </c>
      <c r="I185" s="30" t="str">
        <f>IF(OR(I183=1,I183=""),"",IF('Metric Data'!$B$2,'Metric Calcs'!K181,'Metric Calcs'!W181))</f>
        <v/>
      </c>
      <c r="J185" s="30" t="str">
        <f>IF('Metric Data'!$B$2,'Metric Calcs'!N181,"")</f>
        <v/>
      </c>
      <c r="K185" s="30" t="str">
        <f>IF('Metric Data'!$B$2,'Metric Calcs'!W181,"")</f>
        <v/>
      </c>
      <c r="L185" s="37" t="str">
        <f>IF('Metric Data'!$B$2,J185,H185)</f>
        <v/>
      </c>
      <c r="M185" s="112" t="str">
        <f>IF('Metric Data'!$B$2,K185,I185)</f>
        <v/>
      </c>
      <c r="O185" s="32" t="str">
        <f t="shared" si="25"/>
        <v/>
      </c>
      <c r="Q185" s="112">
        <f t="shared" si="22"/>
        <v>-2.1844000000000046</v>
      </c>
      <c r="R185" s="32" t="str">
        <f t="shared" si="24"/>
        <v/>
      </c>
      <c r="S185" s="32" t="str">
        <f t="shared" si="23"/>
        <v/>
      </c>
      <c r="U185" s="32" t="str">
        <f t="shared" si="19"/>
        <v/>
      </c>
      <c r="X185" s="30" t="str" cm="1">
        <f t="array" ref="X185">IF($AP$21="INVERT",R185,IF(X184&gt;=$S$12,"",IF(R184="","",INDEX($R$18:$R$227,$U$17-ROWS($R$18:$R184)))))</f>
        <v/>
      </c>
      <c r="Y185" s="30" t="str">
        <f t="shared" si="20"/>
        <v/>
      </c>
      <c r="Z185" s="30" t="str">
        <f>IF(Z184="","",IF($AP$21="TYP",IF(S184="","",INDEX($S$18:$S$227,$U$17-ROWS($S$18:$S184))),IF($AP$21="INVERT",S185,"")))</f>
        <v/>
      </c>
      <c r="AA185" s="75" t="str">
        <f t="shared" si="21"/>
        <v/>
      </c>
      <c r="AB185" s="75"/>
      <c r="AC185" s="35"/>
      <c r="AD185" s="35"/>
      <c r="AE185" s="35"/>
      <c r="AF185" s="35"/>
      <c r="AG185" s="35"/>
      <c r="AH185" s="35"/>
      <c r="AI185" s="35"/>
      <c r="AJ185" s="35"/>
      <c r="AK185" s="35"/>
      <c r="AL185" s="35"/>
      <c r="AM185" s="35"/>
    </row>
    <row r="186" spans="1:39" x14ac:dyDescent="0.2">
      <c r="A186" s="32" t="str">
        <f t="shared" si="18"/>
        <v/>
      </c>
      <c r="C186" s="36" t="str">
        <f>IF(OR(C185&lt;30,C185=""),"",'Metric Calcs'!C182)</f>
        <v/>
      </c>
      <c r="D186" s="80" t="str">
        <f>IF(C186=0,"",'Metric Calcs'!D182)</f>
        <v/>
      </c>
      <c r="E186" s="80" t="str">
        <f>IF(OR(E184=1,E184=""),"",IF('Metric Data'!$B$2,'Metric Calcs'!E182,'Metric Calcs'!F182))</f>
        <v/>
      </c>
      <c r="F186" s="30" t="str">
        <f>IF(OR(F184=1,F184=""),"",IF('Metric Data'!$B$2,'Metric Calcs'!F182,'Metric Calcs'!H182))</f>
        <v/>
      </c>
      <c r="G186" s="30" t="str">
        <f>IF(OR(G184=1,G184=""),"",IF('Metric Data'!$B$2,'Metric Calcs'!G182,'Metric Calcs'!K182))</f>
        <v/>
      </c>
      <c r="H186" s="30" t="str">
        <f>IF(OR(H184=1,H184=""),"",IF('Metric Data'!$B$2,'Metric Calcs'!H182,'Metric Calcs'!N182))</f>
        <v/>
      </c>
      <c r="I186" s="30" t="str">
        <f>IF(OR(I184=1,I184=""),"",IF('Metric Data'!$B$2,'Metric Calcs'!K182,'Metric Calcs'!W182))</f>
        <v/>
      </c>
      <c r="J186" s="30" t="str">
        <f>IF('Metric Data'!$B$2,'Metric Calcs'!N182,"")</f>
        <v/>
      </c>
      <c r="K186" s="30" t="str">
        <f>IF('Metric Data'!$B$2,'Metric Calcs'!W182,"")</f>
        <v/>
      </c>
      <c r="L186" s="37" t="str">
        <f>IF('Metric Data'!$B$2,J186,H186)</f>
        <v/>
      </c>
      <c r="M186" s="112" t="str">
        <f>IF('Metric Data'!$B$2,K186,I186)</f>
        <v/>
      </c>
      <c r="O186" s="32" t="str">
        <f t="shared" si="25"/>
        <v/>
      </c>
      <c r="Q186" s="112">
        <f t="shared" si="22"/>
        <v>-2.2098000000000044</v>
      </c>
      <c r="R186" s="32" t="str">
        <f t="shared" si="24"/>
        <v/>
      </c>
      <c r="S186" s="32" t="str">
        <f t="shared" si="23"/>
        <v/>
      </c>
      <c r="U186" s="32" t="str">
        <f t="shared" si="19"/>
        <v/>
      </c>
      <c r="X186" s="30" t="str" cm="1">
        <f t="array" ref="X186">IF($AP$21="INVERT",R186,IF(X185&gt;=$S$12,"",IF(R185="","",INDEX($R$18:$R$227,$U$17-ROWS($R$18:$R185)))))</f>
        <v/>
      </c>
      <c r="Y186" s="30" t="str">
        <f t="shared" si="20"/>
        <v/>
      </c>
      <c r="Z186" s="30" t="str">
        <f>IF(Z185="","",IF($AP$21="TYP",IF(S185="","",INDEX($S$18:$S$227,$U$17-ROWS($S$18:$S185))),IF($AP$21="INVERT",S186,"")))</f>
        <v/>
      </c>
      <c r="AA186" s="75" t="str">
        <f t="shared" si="21"/>
        <v/>
      </c>
      <c r="AB186" s="75"/>
      <c r="AC186" s="35"/>
      <c r="AD186" s="35"/>
      <c r="AE186" s="35"/>
      <c r="AF186" s="35"/>
      <c r="AG186" s="35"/>
      <c r="AH186" s="35"/>
      <c r="AI186" s="35"/>
      <c r="AJ186" s="35"/>
      <c r="AK186" s="35"/>
      <c r="AL186" s="35"/>
      <c r="AM186" s="35"/>
    </row>
    <row r="187" spans="1:39" x14ac:dyDescent="0.2">
      <c r="A187" s="32" t="str">
        <f t="shared" si="18"/>
        <v/>
      </c>
      <c r="C187" s="36" t="str">
        <f>IF(OR(C186&lt;30,C186=""),"",'Metric Calcs'!C183)</f>
        <v/>
      </c>
      <c r="D187" s="80" t="str">
        <f>IF(C187=0,"",'Metric Calcs'!D183)</f>
        <v/>
      </c>
      <c r="E187" s="80" t="str">
        <f>IF(OR(E185=1,E185=""),"",IF('Metric Data'!$B$2,'Metric Calcs'!E183,'Metric Calcs'!F183))</f>
        <v/>
      </c>
      <c r="F187" s="30" t="str">
        <f>IF(OR(F185=1,F185=""),"",IF('Metric Data'!$B$2,'Metric Calcs'!F183,'Metric Calcs'!H183))</f>
        <v/>
      </c>
      <c r="G187" s="30" t="str">
        <f>IF(OR(G185=1,G185=""),"",IF('Metric Data'!$B$2,'Metric Calcs'!G183,'Metric Calcs'!K183))</f>
        <v/>
      </c>
      <c r="H187" s="30" t="str">
        <f>IF(OR(H185=1,H185=""),"",IF('Metric Data'!$B$2,'Metric Calcs'!H183,'Metric Calcs'!N183))</f>
        <v/>
      </c>
      <c r="I187" s="30" t="str">
        <f>IF(OR(I185=1,I185=""),"",IF('Metric Data'!$B$2,'Metric Calcs'!K183,'Metric Calcs'!W183))</f>
        <v/>
      </c>
      <c r="J187" s="30" t="str">
        <f>IF('Metric Data'!$B$2,'Metric Calcs'!N183,"")</f>
        <v/>
      </c>
      <c r="K187" s="30" t="str">
        <f>IF('Metric Data'!$B$2,'Metric Calcs'!W183,"")</f>
        <v/>
      </c>
      <c r="L187" s="37" t="str">
        <f>IF('Metric Data'!$B$2,J187,H187)</f>
        <v/>
      </c>
      <c r="M187" s="112" t="str">
        <f>IF('Metric Data'!$B$2,K187,I187)</f>
        <v/>
      </c>
      <c r="O187" s="32" t="str">
        <f t="shared" si="25"/>
        <v/>
      </c>
      <c r="Q187" s="112">
        <f t="shared" si="22"/>
        <v>-2.2352000000000043</v>
      </c>
      <c r="R187" s="32" t="str">
        <f t="shared" si="24"/>
        <v/>
      </c>
      <c r="S187" s="32" t="str">
        <f t="shared" si="23"/>
        <v/>
      </c>
      <c r="U187" s="32" t="str">
        <f t="shared" si="19"/>
        <v/>
      </c>
      <c r="X187" s="30" t="str" cm="1">
        <f t="array" ref="X187">IF($AP$21="INVERT",R187,IF(X186&gt;=$S$12,"",IF(R186="","",INDEX($R$18:$R$227,$U$17-ROWS($R$18:$R186)))))</f>
        <v/>
      </c>
      <c r="Y187" s="30" t="str">
        <f t="shared" si="20"/>
        <v/>
      </c>
      <c r="Z187" s="30" t="str">
        <f>IF(Z186="","",IF($AP$21="TYP",IF(S186="","",INDEX($S$18:$S$227,$U$17-ROWS($S$18:$S186))),IF($AP$21="INVERT",S187,"")))</f>
        <v/>
      </c>
      <c r="AA187" s="75" t="str">
        <f t="shared" si="21"/>
        <v/>
      </c>
      <c r="AB187" s="75"/>
      <c r="AC187" s="35"/>
      <c r="AD187" s="35"/>
      <c r="AE187" s="35"/>
      <c r="AF187" s="35"/>
      <c r="AG187" s="35"/>
      <c r="AH187" s="35"/>
      <c r="AI187" s="35"/>
      <c r="AJ187" s="35"/>
      <c r="AK187" s="35"/>
      <c r="AL187" s="35"/>
      <c r="AM187" s="35"/>
    </row>
    <row r="188" spans="1:39" x14ac:dyDescent="0.2">
      <c r="A188" s="32" t="str">
        <f t="shared" si="18"/>
        <v/>
      </c>
      <c r="C188" s="36" t="str">
        <f>IF(OR(C187&lt;30,C187=""),"",'Metric Calcs'!C184)</f>
        <v/>
      </c>
      <c r="D188" s="80" t="str">
        <f>IF(C188=0,"",'Metric Calcs'!D184)</f>
        <v/>
      </c>
      <c r="E188" s="80" t="str">
        <f>IF(OR(E186=1,E186=""),"",IF('Metric Data'!$B$2,'Metric Calcs'!E184,'Metric Calcs'!F184))</f>
        <v/>
      </c>
      <c r="F188" s="30" t="str">
        <f>IF(OR(F186=1,F186=""),"",IF('Metric Data'!$B$2,'Metric Calcs'!F184,'Metric Calcs'!H184))</f>
        <v/>
      </c>
      <c r="G188" s="30" t="str">
        <f>IF(OR(G186=1,G186=""),"",IF('Metric Data'!$B$2,'Metric Calcs'!G184,'Metric Calcs'!K184))</f>
        <v/>
      </c>
      <c r="H188" s="30" t="str">
        <f>IF(OR(H186=1,H186=""),"",IF('Metric Data'!$B$2,'Metric Calcs'!H184,'Metric Calcs'!N184))</f>
        <v/>
      </c>
      <c r="I188" s="30" t="str">
        <f>IF(OR(I186=1,I186=""),"",IF('Metric Data'!$B$2,'Metric Calcs'!K184,'Metric Calcs'!W184))</f>
        <v/>
      </c>
      <c r="J188" s="30" t="str">
        <f>IF('Metric Data'!$B$2,'Metric Calcs'!N184,"")</f>
        <v/>
      </c>
      <c r="K188" s="30" t="str">
        <f>IF('Metric Data'!$B$2,'Metric Calcs'!W184,"")</f>
        <v/>
      </c>
      <c r="L188" s="37" t="str">
        <f>IF('Metric Data'!$B$2,J188,H188)</f>
        <v/>
      </c>
      <c r="M188" s="112" t="str">
        <f>IF('Metric Data'!$B$2,K188,I188)</f>
        <v/>
      </c>
      <c r="O188" s="32" t="str">
        <f t="shared" si="25"/>
        <v/>
      </c>
      <c r="Q188" s="112">
        <f t="shared" si="22"/>
        <v>-2.2606000000000042</v>
      </c>
      <c r="R188" s="32" t="str">
        <f t="shared" si="24"/>
        <v/>
      </c>
      <c r="S188" s="32" t="str">
        <f t="shared" si="23"/>
        <v/>
      </c>
      <c r="U188" s="32" t="str">
        <f t="shared" si="19"/>
        <v/>
      </c>
      <c r="X188" s="30" t="str" cm="1">
        <f t="array" ref="X188">IF($AP$21="INVERT",R188,IF(X187&gt;=$S$12,"",IF(R187="","",INDEX($R$18:$R$227,$U$17-ROWS($R$18:$R187)))))</f>
        <v/>
      </c>
      <c r="Y188" s="30" t="str">
        <f t="shared" si="20"/>
        <v/>
      </c>
      <c r="Z188" s="30" t="str">
        <f>IF(Z187="","",IF($AP$21="TYP",IF(S187="","",INDEX($S$18:$S$227,$U$17-ROWS($S$18:$S187))),IF($AP$21="INVERT",S188,"")))</f>
        <v/>
      </c>
      <c r="AA188" s="75" t="str">
        <f t="shared" si="21"/>
        <v/>
      </c>
      <c r="AB188" s="75"/>
      <c r="AC188" s="35"/>
      <c r="AD188" s="35"/>
      <c r="AE188" s="35"/>
      <c r="AF188" s="35"/>
      <c r="AG188" s="35"/>
      <c r="AH188" s="35"/>
      <c r="AI188" s="35"/>
      <c r="AJ188" s="35"/>
      <c r="AK188" s="35"/>
      <c r="AL188" s="35"/>
      <c r="AM188" s="35"/>
    </row>
    <row r="189" spans="1:39" x14ac:dyDescent="0.2">
      <c r="A189" s="32" t="str">
        <f t="shared" si="18"/>
        <v/>
      </c>
      <c r="C189" s="36" t="str">
        <f>IF(OR(C188&lt;30,C188=""),"",'Metric Calcs'!C185)</f>
        <v/>
      </c>
      <c r="D189" s="80" t="str">
        <f>IF(C189=0,"",'Metric Calcs'!D185)</f>
        <v/>
      </c>
      <c r="E189" s="80" t="str">
        <f>IF(OR(E187=1,E187=""),"",IF('Metric Data'!$B$2,'Metric Calcs'!E185,'Metric Calcs'!F185))</f>
        <v/>
      </c>
      <c r="F189" s="30" t="str">
        <f>IF(OR(F187=1,F187=""),"",IF('Metric Data'!$B$2,'Metric Calcs'!F185,'Metric Calcs'!H185))</f>
        <v/>
      </c>
      <c r="G189" s="30" t="str">
        <f>IF(OR(G187=1,G187=""),"",IF('Metric Data'!$B$2,'Metric Calcs'!G185,'Metric Calcs'!K185))</f>
        <v/>
      </c>
      <c r="H189" s="30" t="str">
        <f>IF(OR(H187=1,H187=""),"",IF('Metric Data'!$B$2,'Metric Calcs'!H185,'Metric Calcs'!N185))</f>
        <v/>
      </c>
      <c r="I189" s="30" t="str">
        <f>IF(OR(I187=1,I187=""),"",IF('Metric Data'!$B$2,'Metric Calcs'!K185,'Metric Calcs'!W185))</f>
        <v/>
      </c>
      <c r="J189" s="30" t="str">
        <f>IF('Metric Data'!$B$2,'Metric Calcs'!N185,"")</f>
        <v/>
      </c>
      <c r="K189" s="30" t="str">
        <f>IF('Metric Data'!$B$2,'Metric Calcs'!W185,"")</f>
        <v/>
      </c>
      <c r="L189" s="37" t="str">
        <f>IF('Metric Data'!$B$2,J189,H189)</f>
        <v/>
      </c>
      <c r="M189" s="112" t="str">
        <f>IF('Metric Data'!$B$2,K189,I189)</f>
        <v/>
      </c>
      <c r="O189" s="32" t="str">
        <f t="shared" si="25"/>
        <v/>
      </c>
      <c r="Q189" s="112">
        <f t="shared" si="22"/>
        <v>-2.286000000000004</v>
      </c>
      <c r="R189" s="32" t="str">
        <f t="shared" si="24"/>
        <v/>
      </c>
      <c r="S189" s="32" t="str">
        <f t="shared" si="23"/>
        <v/>
      </c>
      <c r="U189" s="32" t="str">
        <f t="shared" si="19"/>
        <v/>
      </c>
      <c r="X189" s="30" t="str" cm="1">
        <f t="array" ref="X189">IF($AP$21="INVERT",R189,IF(X188&gt;=$S$12,"",IF(R188="","",INDEX($R$18:$R$227,$U$17-ROWS($R$18:$R188)))))</f>
        <v/>
      </c>
      <c r="Y189" s="30" t="str">
        <f t="shared" si="20"/>
        <v/>
      </c>
      <c r="Z189" s="30" t="str">
        <f>IF(Z188="","",IF($AP$21="TYP",IF(S188="","",INDEX($S$18:$S$227,$U$17-ROWS($S$18:$S188))),IF($AP$21="INVERT",S189,"")))</f>
        <v/>
      </c>
      <c r="AA189" s="75" t="str">
        <f t="shared" si="21"/>
        <v/>
      </c>
      <c r="AB189" s="75"/>
      <c r="AC189" s="35"/>
      <c r="AD189" s="35"/>
      <c r="AE189" s="35"/>
      <c r="AF189" s="35"/>
      <c r="AG189" s="35"/>
      <c r="AH189" s="35"/>
      <c r="AI189" s="35"/>
      <c r="AJ189" s="35"/>
      <c r="AK189" s="35"/>
      <c r="AL189" s="35"/>
      <c r="AM189" s="35"/>
    </row>
    <row r="190" spans="1:39" x14ac:dyDescent="0.2">
      <c r="A190" s="32" t="str">
        <f t="shared" si="18"/>
        <v/>
      </c>
      <c r="C190" s="36" t="str">
        <f>IF(OR(C189&lt;30,C189=""),"",'Metric Calcs'!C186)</f>
        <v/>
      </c>
      <c r="D190" s="80" t="str">
        <f>IF(C190=0,"",'Metric Calcs'!D186)</f>
        <v/>
      </c>
      <c r="E190" s="80" t="str">
        <f>IF(OR(E188=1,E188=""),"",IF('Metric Data'!$B$2,'Metric Calcs'!E186,'Metric Calcs'!F186))</f>
        <v/>
      </c>
      <c r="F190" s="30" t="str">
        <f>IF(OR(F188=1,F188=""),"",IF('Metric Data'!$B$2,'Metric Calcs'!F186,'Metric Calcs'!H186))</f>
        <v/>
      </c>
      <c r="G190" s="30" t="str">
        <f>IF(OR(G188=1,G188=""),"",IF('Metric Data'!$B$2,'Metric Calcs'!G186,'Metric Calcs'!K186))</f>
        <v/>
      </c>
      <c r="H190" s="30" t="str">
        <f>IF(OR(H188=1,H188=""),"",IF('Metric Data'!$B$2,'Metric Calcs'!H186,'Metric Calcs'!N186))</f>
        <v/>
      </c>
      <c r="I190" s="30" t="str">
        <f>IF(OR(I188=1,I188=""),"",IF('Metric Data'!$B$2,'Metric Calcs'!K186,'Metric Calcs'!W186))</f>
        <v/>
      </c>
      <c r="J190" s="30" t="str">
        <f>IF('Metric Data'!$B$2,'Metric Calcs'!N186,"")</f>
        <v/>
      </c>
      <c r="K190" s="30" t="str">
        <f>IF('Metric Data'!$B$2,'Metric Calcs'!W186,"")</f>
        <v/>
      </c>
      <c r="L190" s="37" t="str">
        <f>IF('Metric Data'!$B$2,J190,H190)</f>
        <v/>
      </c>
      <c r="M190" s="112" t="str">
        <f>IF('Metric Data'!$B$2,K190,I190)</f>
        <v/>
      </c>
      <c r="O190" s="32" t="str">
        <f t="shared" si="25"/>
        <v/>
      </c>
      <c r="Q190" s="112">
        <f t="shared" si="22"/>
        <v>-2.3114000000000039</v>
      </c>
      <c r="R190" s="32" t="str">
        <f t="shared" si="24"/>
        <v/>
      </c>
      <c r="S190" s="32" t="str">
        <f t="shared" si="23"/>
        <v/>
      </c>
      <c r="U190" s="32" t="str">
        <f t="shared" si="19"/>
        <v/>
      </c>
      <c r="X190" s="30" t="str" cm="1">
        <f t="array" ref="X190">IF($AP$21="INVERT",R190,IF(X189&gt;=$S$12,"",IF(R189="","",INDEX($R$18:$R$227,$U$17-ROWS($R$18:$R189)))))</f>
        <v/>
      </c>
      <c r="Y190" s="30" t="str">
        <f t="shared" si="20"/>
        <v/>
      </c>
      <c r="Z190" s="30" t="str">
        <f>IF(Z189="","",IF($AP$21="TYP",IF(S189="","",INDEX($S$18:$S$227,$U$17-ROWS($S$18:$S189))),IF($AP$21="INVERT",S190,"")))</f>
        <v/>
      </c>
      <c r="AA190" s="75" t="str">
        <f t="shared" si="21"/>
        <v/>
      </c>
      <c r="AB190" s="75"/>
      <c r="AC190" s="35"/>
      <c r="AD190" s="35"/>
      <c r="AE190" s="35"/>
      <c r="AF190" s="35"/>
      <c r="AG190" s="35"/>
      <c r="AH190" s="35"/>
      <c r="AI190" s="35"/>
      <c r="AJ190" s="35"/>
      <c r="AK190" s="35"/>
      <c r="AL190" s="35"/>
      <c r="AM190" s="35"/>
    </row>
    <row r="191" spans="1:39" x14ac:dyDescent="0.2">
      <c r="A191" s="32" t="str">
        <f t="shared" si="18"/>
        <v/>
      </c>
      <c r="C191" s="36" t="str">
        <f>IF(OR(C190&lt;30,C190=""),"",'Metric Calcs'!C187)</f>
        <v/>
      </c>
      <c r="D191" s="80" t="str">
        <f>IF(C191=0,"",'Metric Calcs'!D187)</f>
        <v/>
      </c>
      <c r="E191" s="80" t="str">
        <f>IF(OR(E189=1,E189=""),"",IF('Metric Data'!$B$2,'Metric Calcs'!E187,'Metric Calcs'!F187))</f>
        <v/>
      </c>
      <c r="F191" s="30" t="str">
        <f>IF(OR(F189=1,F189=""),"",IF('Metric Data'!$B$2,'Metric Calcs'!F187,'Metric Calcs'!H187))</f>
        <v/>
      </c>
      <c r="G191" s="30" t="str">
        <f>IF(OR(G189=1,G189=""),"",IF('Metric Data'!$B$2,'Metric Calcs'!G187,'Metric Calcs'!K187))</f>
        <v/>
      </c>
      <c r="H191" s="30" t="str">
        <f>IF(OR(H189=1,H189=""),"",IF('Metric Data'!$B$2,'Metric Calcs'!H187,'Metric Calcs'!N187))</f>
        <v/>
      </c>
      <c r="I191" s="30" t="str">
        <f>IF(OR(I189=1,I189=""),"",IF('Metric Data'!$B$2,'Metric Calcs'!K187,'Metric Calcs'!W187))</f>
        <v/>
      </c>
      <c r="J191" s="30" t="str">
        <f>IF('Metric Data'!$B$2,'Metric Calcs'!N187,"")</f>
        <v/>
      </c>
      <c r="K191" s="30" t="str">
        <f>IF('Metric Data'!$B$2,'Metric Calcs'!W187,"")</f>
        <v/>
      </c>
      <c r="L191" s="37" t="str">
        <f>IF('Metric Data'!$B$2,J191,H191)</f>
        <v/>
      </c>
      <c r="M191" s="112" t="str">
        <f>IF('Metric Data'!$B$2,K191,I191)</f>
        <v/>
      </c>
      <c r="O191" s="32" t="str">
        <f t="shared" si="25"/>
        <v/>
      </c>
      <c r="Q191" s="112">
        <f t="shared" si="22"/>
        <v>-2.3368000000000038</v>
      </c>
      <c r="R191" s="32" t="str">
        <f t="shared" si="24"/>
        <v/>
      </c>
      <c r="S191" s="32" t="str">
        <f t="shared" si="23"/>
        <v/>
      </c>
      <c r="U191" s="32" t="str">
        <f t="shared" si="19"/>
        <v/>
      </c>
      <c r="X191" s="30" t="str" cm="1">
        <f t="array" ref="X191">IF($AP$21="INVERT",R191,IF(X190&gt;=$S$12,"",IF(R190="","",INDEX($R$18:$R$227,$U$17-ROWS($R$18:$R190)))))</f>
        <v/>
      </c>
      <c r="Y191" s="30" t="str">
        <f t="shared" si="20"/>
        <v/>
      </c>
      <c r="Z191" s="30" t="str">
        <f>IF(Z190="","",IF($AP$21="TYP",IF(S190="","",INDEX($S$18:$S$227,$U$17-ROWS($S$18:$S190))),IF($AP$21="INVERT",S191,"")))</f>
        <v/>
      </c>
      <c r="AA191" s="75" t="str">
        <f t="shared" si="21"/>
        <v/>
      </c>
      <c r="AB191" s="75"/>
      <c r="AC191" s="35"/>
      <c r="AD191" s="35"/>
      <c r="AE191" s="35"/>
      <c r="AF191" s="35"/>
      <c r="AG191" s="35"/>
      <c r="AH191" s="35"/>
      <c r="AI191" s="35"/>
      <c r="AJ191" s="35"/>
      <c r="AK191" s="35"/>
      <c r="AL191" s="35"/>
      <c r="AM191" s="35"/>
    </row>
    <row r="192" spans="1:39" x14ac:dyDescent="0.2">
      <c r="A192" s="32" t="str">
        <f t="shared" si="18"/>
        <v/>
      </c>
      <c r="C192" s="36" t="str">
        <f>IF(OR(C191&lt;30,C191=""),"",'Metric Calcs'!C188)</f>
        <v/>
      </c>
      <c r="D192" s="80" t="str">
        <f>IF(C192=0,"",'Metric Calcs'!D188)</f>
        <v/>
      </c>
      <c r="E192" s="80" t="str">
        <f>IF(OR(E190=1,E190=""),"",IF('Metric Data'!$B$2,'Metric Calcs'!E188,'Metric Calcs'!F188))</f>
        <v/>
      </c>
      <c r="F192" s="30" t="str">
        <f>IF(OR(F190=1,F190=""),"",IF('Metric Data'!$B$2,'Metric Calcs'!F188,'Metric Calcs'!H188))</f>
        <v/>
      </c>
      <c r="G192" s="30" t="str">
        <f>IF(OR(G190=1,G190=""),"",IF('Metric Data'!$B$2,'Metric Calcs'!G188,'Metric Calcs'!K188))</f>
        <v/>
      </c>
      <c r="H192" s="30" t="str">
        <f>IF(OR(H190=1,H190=""),"",IF('Metric Data'!$B$2,'Metric Calcs'!H188,'Metric Calcs'!N188))</f>
        <v/>
      </c>
      <c r="I192" s="30" t="str">
        <f>IF(OR(I190=1,I190=""),"",IF('Metric Data'!$B$2,'Metric Calcs'!K188,'Metric Calcs'!W188))</f>
        <v/>
      </c>
      <c r="J192" s="30" t="str">
        <f>IF('Metric Data'!$B$2,'Metric Calcs'!N188,"")</f>
        <v/>
      </c>
      <c r="K192" s="30" t="str">
        <f>IF('Metric Data'!$B$2,'Metric Calcs'!W188,"")</f>
        <v/>
      </c>
      <c r="L192" s="37" t="str">
        <f>IF('Metric Data'!$B$2,J192,H192)</f>
        <v/>
      </c>
      <c r="M192" s="112" t="str">
        <f>IF('Metric Data'!$B$2,K192,I192)</f>
        <v/>
      </c>
      <c r="O192" s="32" t="str">
        <f t="shared" si="25"/>
        <v/>
      </c>
      <c r="Q192" s="112">
        <f t="shared" si="22"/>
        <v>-2.3622000000000036</v>
      </c>
      <c r="R192" s="32" t="str">
        <f t="shared" si="24"/>
        <v/>
      </c>
      <c r="S192" s="32" t="str">
        <f t="shared" si="23"/>
        <v/>
      </c>
      <c r="U192" s="32" t="str">
        <f t="shared" si="19"/>
        <v/>
      </c>
      <c r="X192" s="30" t="str" cm="1">
        <f t="array" ref="X192">IF($AP$21="INVERT",R192,IF(X191&gt;=$S$12,"",IF(R191="","",INDEX($R$18:$R$227,$U$17-ROWS($R$18:$R191)))))</f>
        <v/>
      </c>
      <c r="Y192" s="30" t="str">
        <f t="shared" si="20"/>
        <v/>
      </c>
      <c r="Z192" s="30" t="str">
        <f>IF(Z191="","",IF($AP$21="TYP",IF(S191="","",INDEX($S$18:$S$227,$U$17-ROWS($S$18:$S191))),IF($AP$21="INVERT",S192,"")))</f>
        <v/>
      </c>
      <c r="AA192" s="75" t="str">
        <f t="shared" si="21"/>
        <v/>
      </c>
      <c r="AB192" s="75"/>
      <c r="AC192" s="35"/>
      <c r="AD192" s="35"/>
      <c r="AE192" s="35"/>
      <c r="AF192" s="35"/>
      <c r="AG192" s="35"/>
      <c r="AH192" s="35"/>
      <c r="AI192" s="35"/>
      <c r="AJ192" s="35"/>
      <c r="AK192" s="35"/>
      <c r="AL192" s="35"/>
      <c r="AM192" s="35"/>
    </row>
    <row r="193" spans="1:39" x14ac:dyDescent="0.2">
      <c r="A193" s="32" t="str">
        <f t="shared" si="18"/>
        <v/>
      </c>
      <c r="C193" s="36" t="str">
        <f>IF(OR(C192&lt;30,C192=""),"",'Metric Calcs'!C189)</f>
        <v/>
      </c>
      <c r="D193" s="80" t="str">
        <f>IF(C193=0,"",'Metric Calcs'!D189)</f>
        <v/>
      </c>
      <c r="E193" s="80" t="str">
        <f>IF(OR(E191=1,E191=""),"",IF('Metric Data'!$B$2,'Metric Calcs'!E189,'Metric Calcs'!F189))</f>
        <v/>
      </c>
      <c r="F193" s="30" t="str">
        <f>IF(OR(F191=1,F191=""),"",IF('Metric Data'!$B$2,'Metric Calcs'!F189,'Metric Calcs'!H189))</f>
        <v/>
      </c>
      <c r="G193" s="30" t="str">
        <f>IF(OR(G191=1,G191=""),"",IF('Metric Data'!$B$2,'Metric Calcs'!G189,'Metric Calcs'!K189))</f>
        <v/>
      </c>
      <c r="H193" s="30" t="str">
        <f>IF(OR(H191=1,H191=""),"",IF('Metric Data'!$B$2,'Metric Calcs'!H189,'Metric Calcs'!N189))</f>
        <v/>
      </c>
      <c r="I193" s="30" t="str">
        <f>IF(OR(I191=1,I191=""),"",IF('Metric Data'!$B$2,'Metric Calcs'!K189,'Metric Calcs'!W189))</f>
        <v/>
      </c>
      <c r="J193" s="30" t="str">
        <f>IF('Metric Data'!$B$2,'Metric Calcs'!N189,"")</f>
        <v/>
      </c>
      <c r="K193" s="30" t="str">
        <f>IF('Metric Data'!$B$2,'Metric Calcs'!W189,"")</f>
        <v/>
      </c>
      <c r="L193" s="37" t="str">
        <f>IF('Metric Data'!$B$2,J193,H193)</f>
        <v/>
      </c>
      <c r="M193" s="112" t="str">
        <f>IF('Metric Data'!$B$2,K193,I193)</f>
        <v/>
      </c>
      <c r="O193" s="32" t="str">
        <f t="shared" si="25"/>
        <v/>
      </c>
      <c r="Q193" s="112">
        <f t="shared" si="22"/>
        <v>-2.3876000000000035</v>
      </c>
      <c r="R193" s="32" t="str">
        <f t="shared" si="24"/>
        <v/>
      </c>
      <c r="S193" s="32" t="str">
        <f t="shared" si="23"/>
        <v/>
      </c>
      <c r="U193" s="32" t="str">
        <f t="shared" si="19"/>
        <v/>
      </c>
      <c r="X193" s="30" t="str" cm="1">
        <f t="array" ref="X193">IF($AP$21="INVERT",R193,IF(X192&gt;=$S$12,"",IF(R192="","",INDEX($R$18:$R$227,$U$17-ROWS($R$18:$R192)))))</f>
        <v/>
      </c>
      <c r="Y193" s="30" t="str">
        <f t="shared" si="20"/>
        <v/>
      </c>
      <c r="Z193" s="30" t="str">
        <f>IF(Z192="","",IF($AP$21="TYP",IF(S192="","",INDEX($S$18:$S$227,$U$17-ROWS($S$18:$S192))),IF($AP$21="INVERT",S193,"")))</f>
        <v/>
      </c>
      <c r="AA193" s="75" t="str">
        <f t="shared" si="21"/>
        <v/>
      </c>
      <c r="AB193" s="75"/>
      <c r="AC193" s="35"/>
      <c r="AD193" s="35"/>
      <c r="AE193" s="35"/>
      <c r="AF193" s="35"/>
      <c r="AG193" s="35"/>
      <c r="AH193" s="35"/>
      <c r="AI193" s="35"/>
      <c r="AJ193" s="35"/>
      <c r="AK193" s="35"/>
      <c r="AL193" s="35"/>
      <c r="AM193" s="35"/>
    </row>
    <row r="194" spans="1:39" x14ac:dyDescent="0.2">
      <c r="A194" s="32" t="str">
        <f t="shared" si="18"/>
        <v/>
      </c>
      <c r="C194" s="36" t="str">
        <f>IF(OR(C193&lt;30,C193=""),"",'Metric Calcs'!C190)</f>
        <v/>
      </c>
      <c r="D194" s="80" t="str">
        <f>IF(C194=0,"",'Metric Calcs'!D190)</f>
        <v/>
      </c>
      <c r="E194" s="80" t="str">
        <f>IF(OR(E192=1,E192=""),"",IF('Metric Data'!$B$2,'Metric Calcs'!E190,'Metric Calcs'!F190))</f>
        <v/>
      </c>
      <c r="F194" s="30" t="str">
        <f>IF(OR(F192=1,F192=""),"",IF('Metric Data'!$B$2,'Metric Calcs'!F190,'Metric Calcs'!H190))</f>
        <v/>
      </c>
      <c r="G194" s="30" t="str">
        <f>IF(OR(G192=1,G192=""),"",IF('Metric Data'!$B$2,'Metric Calcs'!G190,'Metric Calcs'!K190))</f>
        <v/>
      </c>
      <c r="H194" s="30" t="str">
        <f>IF(OR(H192=1,H192=""),"",IF('Metric Data'!$B$2,'Metric Calcs'!H190,'Metric Calcs'!N190))</f>
        <v/>
      </c>
      <c r="I194" s="30" t="str">
        <f>IF(OR(I192=1,I192=""),"",IF('Metric Data'!$B$2,'Metric Calcs'!K190,'Metric Calcs'!W190))</f>
        <v/>
      </c>
      <c r="J194" s="30" t="str">
        <f>IF('Metric Data'!$B$2,'Metric Calcs'!N190,"")</f>
        <v/>
      </c>
      <c r="K194" s="30" t="str">
        <f>IF('Metric Data'!$B$2,'Metric Calcs'!W190,"")</f>
        <v/>
      </c>
      <c r="L194" s="37" t="str">
        <f>IF('Metric Data'!$B$2,J194,H194)</f>
        <v/>
      </c>
      <c r="M194" s="112" t="str">
        <f>IF('Metric Data'!$B$2,K194,I194)</f>
        <v/>
      </c>
      <c r="O194" s="32" t="str">
        <f t="shared" si="25"/>
        <v/>
      </c>
      <c r="Q194" s="112">
        <f t="shared" si="22"/>
        <v>-2.4130000000000034</v>
      </c>
      <c r="R194" s="32" t="str">
        <f t="shared" si="24"/>
        <v/>
      </c>
      <c r="S194" s="32" t="str">
        <f t="shared" si="23"/>
        <v/>
      </c>
      <c r="U194" s="32" t="str">
        <f t="shared" si="19"/>
        <v/>
      </c>
      <c r="X194" s="30" t="str" cm="1">
        <f t="array" ref="X194">IF($AP$21="INVERT",R194,IF(X193&gt;=$S$12,"",IF(R193="","",INDEX($R$18:$R$227,$U$17-ROWS($R$18:$R193)))))</f>
        <v/>
      </c>
      <c r="Y194" s="30" t="str">
        <f t="shared" si="20"/>
        <v/>
      </c>
      <c r="Z194" s="30" t="str">
        <f>IF(Z193="","",IF($AP$21="TYP",IF(S193="","",INDEX($S$18:$S$227,$U$17-ROWS($S$18:$S193))),IF($AP$21="INVERT",S194,"")))</f>
        <v/>
      </c>
      <c r="AA194" s="75" t="str">
        <f t="shared" si="21"/>
        <v/>
      </c>
      <c r="AB194" s="75"/>
      <c r="AC194" s="35"/>
      <c r="AD194" s="35"/>
      <c r="AE194" s="35"/>
      <c r="AF194" s="35"/>
      <c r="AG194" s="35"/>
      <c r="AH194" s="35"/>
      <c r="AI194" s="35"/>
      <c r="AJ194" s="35"/>
      <c r="AK194" s="35"/>
      <c r="AL194" s="35"/>
      <c r="AM194" s="35"/>
    </row>
    <row r="195" spans="1:39" x14ac:dyDescent="0.2">
      <c r="A195" s="32" t="str">
        <f t="shared" si="18"/>
        <v/>
      </c>
      <c r="C195" s="36" t="str">
        <f>IF(OR(C194&lt;30,C194=""),"",'Metric Calcs'!C191)</f>
        <v/>
      </c>
      <c r="D195" s="80" t="str">
        <f>IF(C195=0,"",'Metric Calcs'!D191)</f>
        <v/>
      </c>
      <c r="E195" s="80" t="str">
        <f>IF(OR(E193=1,E193=""),"",IF('Metric Data'!$B$2,'Metric Calcs'!E191,'Metric Calcs'!F191))</f>
        <v/>
      </c>
      <c r="F195" s="30" t="str">
        <f>IF(OR(F193=1,F193=""),"",IF('Metric Data'!$B$2,'Metric Calcs'!F191,'Metric Calcs'!H191))</f>
        <v/>
      </c>
      <c r="G195" s="30" t="str">
        <f>IF(OR(G193=1,G193=""),"",IF('Metric Data'!$B$2,'Metric Calcs'!G191,'Metric Calcs'!K191))</f>
        <v/>
      </c>
      <c r="H195" s="30" t="str">
        <f>IF(OR(H193=1,H193=""),"",IF('Metric Data'!$B$2,'Metric Calcs'!H191,'Metric Calcs'!N191))</f>
        <v/>
      </c>
      <c r="I195" s="30" t="str">
        <f>IF(OR(I193=1,I193=""),"",IF('Metric Data'!$B$2,'Metric Calcs'!K191,'Metric Calcs'!W191))</f>
        <v/>
      </c>
      <c r="J195" s="30" t="str">
        <f>IF('Metric Data'!$B$2,'Metric Calcs'!N191,"")</f>
        <v/>
      </c>
      <c r="K195" s="30" t="str">
        <f>IF('Metric Data'!$B$2,'Metric Calcs'!W191,"")</f>
        <v/>
      </c>
      <c r="L195" s="37" t="str">
        <f>IF('Metric Data'!$B$2,J195,H195)</f>
        <v/>
      </c>
      <c r="M195" s="112" t="str">
        <f>IF('Metric Data'!$B$2,K195,I195)</f>
        <v/>
      </c>
      <c r="O195" s="32" t="str">
        <f t="shared" si="25"/>
        <v/>
      </c>
      <c r="Q195" s="112">
        <f t="shared" si="22"/>
        <v>-2.4384000000000032</v>
      </c>
      <c r="R195" s="32" t="str">
        <f t="shared" si="24"/>
        <v/>
      </c>
      <c r="S195" s="32" t="str">
        <f t="shared" si="23"/>
        <v/>
      </c>
      <c r="U195" s="32" t="str">
        <f t="shared" si="19"/>
        <v/>
      </c>
      <c r="X195" s="30" t="str" cm="1">
        <f t="array" ref="X195">IF($AP$21="INVERT",R195,IF(X194&gt;=$S$12,"",IF(R194="","",INDEX($R$18:$R$227,$U$17-ROWS($R$18:$R194)))))</f>
        <v/>
      </c>
      <c r="Y195" s="30" t="str">
        <f t="shared" si="20"/>
        <v/>
      </c>
      <c r="Z195" s="30" t="str">
        <f>IF(Z194="","",IF($AP$21="TYP",IF(S194="","",INDEX($S$18:$S$227,$U$17-ROWS($S$18:$S194))),IF($AP$21="INVERT",S195,"")))</f>
        <v/>
      </c>
      <c r="AA195" s="75" t="str">
        <f t="shared" si="21"/>
        <v/>
      </c>
      <c r="AB195" s="75"/>
      <c r="AC195" s="35"/>
      <c r="AD195" s="35"/>
      <c r="AE195" s="35"/>
      <c r="AF195" s="35"/>
      <c r="AG195" s="35"/>
      <c r="AH195" s="35"/>
      <c r="AI195" s="35"/>
      <c r="AJ195" s="35"/>
      <c r="AK195" s="35"/>
      <c r="AL195" s="35"/>
      <c r="AM195" s="35"/>
    </row>
    <row r="196" spans="1:39" x14ac:dyDescent="0.2">
      <c r="A196" s="32" t="str">
        <f t="shared" si="18"/>
        <v/>
      </c>
      <c r="C196" s="36" t="str">
        <f>IF(OR(C195&lt;30,C195=""),"",'Metric Calcs'!C192)</f>
        <v/>
      </c>
      <c r="D196" s="80" t="str">
        <f>IF(C196=0,"",'Metric Calcs'!D192)</f>
        <v/>
      </c>
      <c r="E196" s="80" t="str">
        <f>IF(OR(E194=1,E194=""),"",IF('Metric Data'!$B$2,'Metric Calcs'!E192,'Metric Calcs'!F192))</f>
        <v/>
      </c>
      <c r="F196" s="30" t="str">
        <f>IF(OR(F194=1,F194=""),"",IF('Metric Data'!$B$2,'Metric Calcs'!F192,'Metric Calcs'!H192))</f>
        <v/>
      </c>
      <c r="G196" s="30" t="str">
        <f>IF(OR(G194=1,G194=""),"",IF('Metric Data'!$B$2,'Metric Calcs'!G192,'Metric Calcs'!K192))</f>
        <v/>
      </c>
      <c r="H196" s="30" t="str">
        <f>IF(OR(H194=1,H194=""),"",IF('Metric Data'!$B$2,'Metric Calcs'!H192,'Metric Calcs'!N192))</f>
        <v/>
      </c>
      <c r="I196" s="30" t="str">
        <f>IF(OR(I194=1,I194=""),"",IF('Metric Data'!$B$2,'Metric Calcs'!K192,'Metric Calcs'!W192))</f>
        <v/>
      </c>
      <c r="J196" s="30" t="str">
        <f>IF('Metric Data'!$B$2,'Metric Calcs'!N192,"")</f>
        <v/>
      </c>
      <c r="K196" s="30" t="str">
        <f>IF('Metric Data'!$B$2,'Metric Calcs'!W192,"")</f>
        <v/>
      </c>
      <c r="L196" s="37" t="str">
        <f>IF('Metric Data'!$B$2,J196,H196)</f>
        <v/>
      </c>
      <c r="M196" s="112" t="str">
        <f>IF('Metric Data'!$B$2,K196,I196)</f>
        <v/>
      </c>
      <c r="O196" s="32" t="str">
        <f t="shared" si="25"/>
        <v/>
      </c>
      <c r="Q196" s="112">
        <f t="shared" si="22"/>
        <v>-2.4638000000000031</v>
      </c>
      <c r="R196" s="32" t="str">
        <f t="shared" si="24"/>
        <v/>
      </c>
      <c r="S196" s="32" t="str">
        <f t="shared" si="23"/>
        <v/>
      </c>
      <c r="U196" s="32" t="str">
        <f t="shared" si="19"/>
        <v/>
      </c>
      <c r="X196" s="30" t="str" cm="1">
        <f t="array" ref="X196">IF($AP$21="INVERT",R196,IF(X195&gt;=$S$12,"",IF(R195="","",INDEX($R$18:$R$227,$U$17-ROWS($R$18:$R195)))))</f>
        <v/>
      </c>
      <c r="Y196" s="30" t="str">
        <f t="shared" si="20"/>
        <v/>
      </c>
      <c r="Z196" s="30" t="str">
        <f>IF(Z195="","",IF($AP$21="TYP",IF(S195="","",INDEX($S$18:$S$227,$U$17-ROWS($S$18:$S195))),IF($AP$21="INVERT",S196,"")))</f>
        <v/>
      </c>
      <c r="AA196" s="75" t="str">
        <f t="shared" si="21"/>
        <v/>
      </c>
      <c r="AB196" s="75"/>
      <c r="AC196" s="35"/>
      <c r="AD196" s="35"/>
      <c r="AE196" s="35"/>
      <c r="AF196" s="35"/>
      <c r="AG196" s="35"/>
      <c r="AH196" s="35"/>
      <c r="AI196" s="35"/>
      <c r="AJ196" s="35"/>
      <c r="AK196" s="35"/>
      <c r="AL196" s="35"/>
      <c r="AM196" s="35"/>
    </row>
    <row r="197" spans="1:39" x14ac:dyDescent="0.2">
      <c r="A197" s="32" t="str">
        <f t="shared" si="18"/>
        <v/>
      </c>
      <c r="C197" s="36" t="str">
        <f>IF(OR(C196&lt;30,C196=""),"",'Metric Calcs'!C193)</f>
        <v/>
      </c>
      <c r="D197" s="80" t="str">
        <f>IF(C197=0,"",'Metric Calcs'!D193)</f>
        <v/>
      </c>
      <c r="E197" s="80" t="str">
        <f>IF(OR(E195=1,E195=""),"",IF('Metric Data'!$B$2,'Metric Calcs'!E193,'Metric Calcs'!F193))</f>
        <v/>
      </c>
      <c r="F197" s="30" t="str">
        <f>IF(OR(F195=1,F195=""),"",IF('Metric Data'!$B$2,'Metric Calcs'!F193,'Metric Calcs'!H193))</f>
        <v/>
      </c>
      <c r="G197" s="30" t="str">
        <f>IF(OR(G195=1,G195=""),"",IF('Metric Data'!$B$2,'Metric Calcs'!G193,'Metric Calcs'!K193))</f>
        <v/>
      </c>
      <c r="H197" s="30" t="str">
        <f>IF(OR(H195=1,H195=""),"",IF('Metric Data'!$B$2,'Metric Calcs'!H193,'Metric Calcs'!N193))</f>
        <v/>
      </c>
      <c r="I197" s="30" t="str">
        <f>IF(OR(I195=1,I195=""),"",IF('Metric Data'!$B$2,'Metric Calcs'!K193,'Metric Calcs'!W193))</f>
        <v/>
      </c>
      <c r="J197" s="30" t="str">
        <f>IF('Metric Data'!$B$2,'Metric Calcs'!N193,"")</f>
        <v/>
      </c>
      <c r="K197" s="30" t="str">
        <f>IF('Metric Data'!$B$2,'Metric Calcs'!W193,"")</f>
        <v/>
      </c>
      <c r="L197" s="37" t="str">
        <f>IF('Metric Data'!$B$2,J197,H197)</f>
        <v/>
      </c>
      <c r="M197" s="112" t="str">
        <f>IF('Metric Data'!$B$2,K197,I197)</f>
        <v/>
      </c>
      <c r="O197" s="32" t="str">
        <f t="shared" si="25"/>
        <v/>
      </c>
      <c r="Q197" s="112">
        <f t="shared" si="22"/>
        <v>-2.489200000000003</v>
      </c>
      <c r="R197" s="32" t="str">
        <f t="shared" si="24"/>
        <v/>
      </c>
      <c r="S197" s="32" t="str">
        <f t="shared" si="23"/>
        <v/>
      </c>
      <c r="U197" s="32" t="str">
        <f t="shared" si="19"/>
        <v/>
      </c>
      <c r="X197" s="30" t="str" cm="1">
        <f t="array" ref="X197">IF($AP$21="INVERT",R197,IF(X196&gt;=$S$12,"",IF(R196="","",INDEX($R$18:$R$227,$U$17-ROWS($R$18:$R196)))))</f>
        <v/>
      </c>
      <c r="Y197" s="30" t="str">
        <f t="shared" si="20"/>
        <v/>
      </c>
      <c r="Z197" s="30" t="str">
        <f>IF(Z196="","",IF($AP$21="TYP",IF(S196="","",INDEX($S$18:$S$227,$U$17-ROWS($S$18:$S196))),IF($AP$21="INVERT",S197,"")))</f>
        <v/>
      </c>
      <c r="AA197" s="75" t="str">
        <f t="shared" si="21"/>
        <v/>
      </c>
      <c r="AB197" s="75"/>
      <c r="AC197" s="35"/>
      <c r="AD197" s="35"/>
      <c r="AE197" s="35"/>
      <c r="AF197" s="35"/>
      <c r="AG197" s="35"/>
      <c r="AH197" s="35"/>
      <c r="AI197" s="35"/>
      <c r="AJ197" s="35"/>
      <c r="AK197" s="35"/>
      <c r="AL197" s="35"/>
      <c r="AM197" s="35"/>
    </row>
    <row r="198" spans="1:39" x14ac:dyDescent="0.2">
      <c r="A198" s="32" t="str">
        <f t="shared" si="18"/>
        <v/>
      </c>
      <c r="C198" s="36" t="str">
        <f>IF(OR(C197&lt;30,C197=""),"",'Metric Calcs'!C194)</f>
        <v/>
      </c>
      <c r="D198" s="80" t="str">
        <f>IF(C198=0,"",'Metric Calcs'!D194)</f>
        <v/>
      </c>
      <c r="E198" s="80" t="str">
        <f>IF(OR(E196=1,E196=""),"",IF('Metric Data'!$B$2,'Metric Calcs'!E194,'Metric Calcs'!F194))</f>
        <v/>
      </c>
      <c r="F198" s="30" t="str">
        <f>IF(OR(F196=1,F196=""),"",IF('Metric Data'!$B$2,'Metric Calcs'!F194,'Metric Calcs'!H194))</f>
        <v/>
      </c>
      <c r="G198" s="30" t="str">
        <f>IF(OR(G196=1,G196=""),"",IF('Metric Data'!$B$2,'Metric Calcs'!G194,'Metric Calcs'!K194))</f>
        <v/>
      </c>
      <c r="H198" s="30" t="str">
        <f>IF(OR(H196=1,H196=""),"",IF('Metric Data'!$B$2,'Metric Calcs'!H194,'Metric Calcs'!N194))</f>
        <v/>
      </c>
      <c r="I198" s="30" t="str">
        <f>IF(OR(I196=1,I196=""),"",IF('Metric Data'!$B$2,'Metric Calcs'!K194,'Metric Calcs'!W194))</f>
        <v/>
      </c>
      <c r="J198" s="30" t="str">
        <f>IF('Metric Data'!$B$2,'Metric Calcs'!N194,"")</f>
        <v/>
      </c>
      <c r="K198" s="30" t="str">
        <f>IF('Metric Data'!$B$2,'Metric Calcs'!W194,"")</f>
        <v/>
      </c>
      <c r="L198" s="37" t="str">
        <f>IF('Metric Data'!$B$2,J198,H198)</f>
        <v/>
      </c>
      <c r="M198" s="112" t="str">
        <f>IF('Metric Data'!$B$2,K198,I198)</f>
        <v/>
      </c>
      <c r="O198" s="32" t="str">
        <f t="shared" si="25"/>
        <v/>
      </c>
      <c r="Q198" s="112">
        <f t="shared" si="22"/>
        <v>-2.5146000000000028</v>
      </c>
      <c r="R198" s="32" t="str">
        <f t="shared" si="24"/>
        <v/>
      </c>
      <c r="S198" s="32" t="str">
        <f t="shared" si="23"/>
        <v/>
      </c>
      <c r="U198" s="32" t="str">
        <f t="shared" si="19"/>
        <v/>
      </c>
      <c r="X198" s="30" t="str" cm="1">
        <f t="array" ref="X198">IF($AP$21="INVERT",R198,IF(X197&gt;=$S$12,"",IF(R197="","",INDEX($R$18:$R$227,$U$17-ROWS($R$18:$R197)))))</f>
        <v/>
      </c>
      <c r="Y198" s="30" t="str">
        <f t="shared" si="20"/>
        <v/>
      </c>
      <c r="Z198" s="30" t="str">
        <f>IF(Z197="","",IF($AP$21="TYP",IF(S197="","",INDEX($S$18:$S$227,$U$17-ROWS($S$18:$S197))),IF($AP$21="INVERT",S198,"")))</f>
        <v/>
      </c>
      <c r="AA198" s="75" t="str">
        <f t="shared" si="21"/>
        <v/>
      </c>
      <c r="AB198" s="75"/>
      <c r="AC198" s="35"/>
      <c r="AD198" s="35"/>
      <c r="AE198" s="35"/>
      <c r="AF198" s="35"/>
      <c r="AG198" s="35"/>
      <c r="AH198" s="35"/>
      <c r="AI198" s="35"/>
      <c r="AJ198" s="35"/>
      <c r="AK198" s="35"/>
      <c r="AL198" s="35"/>
      <c r="AM198" s="35"/>
    </row>
    <row r="199" spans="1:39" x14ac:dyDescent="0.2">
      <c r="A199" s="32" t="str">
        <f t="shared" si="18"/>
        <v/>
      </c>
      <c r="C199" s="36" t="str">
        <f>IF(OR(C198&lt;30,C198=""),"",'Metric Calcs'!C195)</f>
        <v/>
      </c>
      <c r="D199" s="80" t="str">
        <f>IF(C199=0,"",'Metric Calcs'!D195)</f>
        <v/>
      </c>
      <c r="E199" s="80" t="str">
        <f>IF(OR(E197=1,E197=""),"",IF('Metric Data'!$B$2,'Metric Calcs'!E195,'Metric Calcs'!F195))</f>
        <v/>
      </c>
      <c r="F199" s="30" t="str">
        <f>IF(OR(F197=1,F197=""),"",IF('Metric Data'!$B$2,'Metric Calcs'!F195,'Metric Calcs'!H195))</f>
        <v/>
      </c>
      <c r="G199" s="30" t="str">
        <f>IF(OR(G197=1,G197=""),"",IF('Metric Data'!$B$2,'Metric Calcs'!G195,'Metric Calcs'!K195))</f>
        <v/>
      </c>
      <c r="H199" s="30" t="str">
        <f>IF(OR(H197=1,H197=""),"",IF('Metric Data'!$B$2,'Metric Calcs'!H195,'Metric Calcs'!N195))</f>
        <v/>
      </c>
      <c r="I199" s="30" t="str">
        <f>IF(OR(I197=1,I197=""),"",IF('Metric Data'!$B$2,'Metric Calcs'!K195,'Metric Calcs'!W195))</f>
        <v/>
      </c>
      <c r="J199" s="30" t="str">
        <f>IF('Metric Data'!$B$2,'Metric Calcs'!N195,"")</f>
        <v/>
      </c>
      <c r="K199" s="30" t="str">
        <f>IF('Metric Data'!$B$2,'Metric Calcs'!W195,"")</f>
        <v/>
      </c>
      <c r="L199" s="37" t="str">
        <f>IF('Metric Data'!$B$2,J199,H199)</f>
        <v/>
      </c>
      <c r="M199" s="112" t="str">
        <f>IF('Metric Data'!$B$2,K199,I199)</f>
        <v/>
      </c>
      <c r="O199" s="32" t="str">
        <f t="shared" si="25"/>
        <v/>
      </c>
      <c r="Q199" s="112">
        <f t="shared" si="22"/>
        <v>-2.5400000000000027</v>
      </c>
      <c r="R199" s="32" t="str">
        <f t="shared" si="24"/>
        <v/>
      </c>
      <c r="S199" s="32" t="str">
        <f t="shared" si="23"/>
        <v/>
      </c>
      <c r="U199" s="32" t="str">
        <f t="shared" si="19"/>
        <v/>
      </c>
      <c r="X199" s="30" t="str" cm="1">
        <f t="array" ref="X199">IF($AP$21="INVERT",R199,IF(X198&gt;=$S$12,"",IF(R198="","",INDEX($R$18:$R$227,$U$17-ROWS($R$18:$R198)))))</f>
        <v/>
      </c>
      <c r="Y199" s="30" t="str">
        <f t="shared" si="20"/>
        <v/>
      </c>
      <c r="Z199" s="30" t="str">
        <f>IF(Z198="","",IF($AP$21="TYP",IF(S198="","",INDEX($S$18:$S$227,$U$17-ROWS($S$18:$S198))),IF($AP$21="INVERT",S199,"")))</f>
        <v/>
      </c>
      <c r="AA199" s="75" t="str">
        <f t="shared" si="21"/>
        <v/>
      </c>
      <c r="AB199" s="75"/>
      <c r="AC199" s="35"/>
      <c r="AD199" s="35"/>
      <c r="AE199" s="35"/>
      <c r="AF199" s="35"/>
      <c r="AG199" s="35"/>
      <c r="AH199" s="35"/>
      <c r="AI199" s="35"/>
      <c r="AJ199" s="35"/>
      <c r="AK199" s="35"/>
      <c r="AL199" s="35"/>
      <c r="AM199" s="35"/>
    </row>
    <row r="200" spans="1:39" x14ac:dyDescent="0.2">
      <c r="A200" s="32" t="str">
        <f t="shared" si="18"/>
        <v/>
      </c>
      <c r="C200" s="36" t="str">
        <f>IF(OR(C199&lt;30,C199=""),"",'Metric Calcs'!C196)</f>
        <v/>
      </c>
      <c r="D200" s="80" t="str">
        <f>IF(C200=0,"",'Metric Calcs'!D196)</f>
        <v/>
      </c>
      <c r="E200" s="80" t="str">
        <f>IF(OR(E198=1,E198=""),"",IF('Metric Data'!$B$2,'Metric Calcs'!E196,'Metric Calcs'!F196))</f>
        <v/>
      </c>
      <c r="F200" s="30" t="str">
        <f>IF(OR(F198=1,F198=""),"",IF('Metric Data'!$B$2,'Metric Calcs'!F196,'Metric Calcs'!H196))</f>
        <v/>
      </c>
      <c r="G200" s="30" t="str">
        <f>IF(OR(G198=1,G198=""),"",IF('Metric Data'!$B$2,'Metric Calcs'!G196,'Metric Calcs'!K196))</f>
        <v/>
      </c>
      <c r="H200" s="30" t="str">
        <f>IF(OR(H198=1,H198=""),"",IF('Metric Data'!$B$2,'Metric Calcs'!H196,'Metric Calcs'!N196))</f>
        <v/>
      </c>
      <c r="I200" s="30" t="str">
        <f>IF(OR(I198=1,I198=""),"",IF('Metric Data'!$B$2,'Metric Calcs'!K196,'Metric Calcs'!W196))</f>
        <v/>
      </c>
      <c r="J200" s="30" t="str">
        <f>IF('Metric Data'!$B$2,'Metric Calcs'!N196,"")</f>
        <v/>
      </c>
      <c r="K200" s="30" t="str">
        <f>IF('Metric Data'!$B$2,'Metric Calcs'!W196,"")</f>
        <v/>
      </c>
      <c r="L200" s="37" t="str">
        <f>IF('Metric Data'!$B$2,J200,H200)</f>
        <v/>
      </c>
      <c r="M200" s="112" t="str">
        <f>IF('Metric Data'!$B$2,K200,I200)</f>
        <v/>
      </c>
      <c r="O200" s="32" t="str">
        <f t="shared" ref="O200:O227" si="26">IF(M201="",IF(M200="","",$F$9),M200)</f>
        <v/>
      </c>
      <c r="Q200" s="112">
        <f t="shared" si="22"/>
        <v>-2.5654000000000026</v>
      </c>
      <c r="R200" s="32" t="str">
        <f t="shared" ref="R200:R227" si="27">IF(AND(C200="",C199=1),0,IF(C200="","",IF(OR(Q200=0,Q200&gt;0),Q200,"")))</f>
        <v/>
      </c>
      <c r="S200" s="32" t="str">
        <f t="shared" ref="S200:S227" si="28">IF(R200="","",IF(R200=0,L199/$U$11,IF(ISNUMBER(O201),(L200-L201)/(M200-M201),S199)))</f>
        <v/>
      </c>
      <c r="U200" s="32" t="str">
        <f t="shared" ref="U200:U227" si="29">IF(R200="","",1)</f>
        <v/>
      </c>
      <c r="X200" s="30" t="str" cm="1">
        <f t="array" ref="X200">IF($AP$21="INVERT",R200,IF(X199&gt;=$S$12,"",IF(R199="","",INDEX($R$18:$R$227,$U$17-ROWS($R$18:$R199)))))</f>
        <v/>
      </c>
      <c r="Y200" s="30" t="str">
        <f t="shared" ref="Y200:Y227" si="30">IF(X200="","",$F$9+X200)</f>
        <v/>
      </c>
      <c r="Z200" s="30" t="str">
        <f>IF(Z199="","",IF($AP$21="TYP",IF(S199="","",INDEX($S$18:$S$227,$U$17-ROWS($S$18:$S199))),IF($AP$21="INVERT",S200,"")))</f>
        <v/>
      </c>
      <c r="AA200" s="75" t="str">
        <f t="shared" ref="AA200:AA227" si="31">IF(Z200="","",Z200/10000)</f>
        <v/>
      </c>
      <c r="AB200" s="75"/>
      <c r="AC200" s="35"/>
      <c r="AD200" s="35"/>
      <c r="AE200" s="35"/>
      <c r="AF200" s="35"/>
      <c r="AG200" s="35"/>
      <c r="AH200" s="35"/>
      <c r="AI200" s="35"/>
      <c r="AJ200" s="35"/>
      <c r="AK200" s="35"/>
      <c r="AL200" s="35"/>
      <c r="AM200" s="35"/>
    </row>
    <row r="201" spans="1:39" x14ac:dyDescent="0.2">
      <c r="A201" s="32" t="str">
        <f t="shared" si="18"/>
        <v/>
      </c>
      <c r="C201" s="36" t="str">
        <f>IF(OR(C200&lt;30,C200=""),"",'Metric Calcs'!C197)</f>
        <v/>
      </c>
      <c r="D201" s="80" t="str">
        <f>IF(C201=0,"",'Metric Calcs'!D197)</f>
        <v/>
      </c>
      <c r="E201" s="80" t="str">
        <f>IF(OR(E199=1,E199=""),"",IF('Metric Data'!$B$2,'Metric Calcs'!E197,'Metric Calcs'!F197))</f>
        <v/>
      </c>
      <c r="F201" s="30" t="str">
        <f>IF(OR(F199=1,F199=""),"",IF('Metric Data'!$B$2,'Metric Calcs'!F197,'Metric Calcs'!H197))</f>
        <v/>
      </c>
      <c r="G201" s="30" t="str">
        <f>IF(OR(G199=1,G199=""),"",IF('Metric Data'!$B$2,'Metric Calcs'!G197,'Metric Calcs'!K197))</f>
        <v/>
      </c>
      <c r="H201" s="30" t="str">
        <f>IF(OR(H199=1,H199=""),"",IF('Metric Data'!$B$2,'Metric Calcs'!H197,'Metric Calcs'!N197))</f>
        <v/>
      </c>
      <c r="I201" s="30" t="str">
        <f>IF(OR(I199=1,I199=""),"",IF('Metric Data'!$B$2,'Metric Calcs'!K197,'Metric Calcs'!W197))</f>
        <v/>
      </c>
      <c r="J201" s="30" t="str">
        <f>IF('Metric Data'!$B$2,'Metric Calcs'!N197,"")</f>
        <v/>
      </c>
      <c r="K201" s="30" t="str">
        <f>IF('Metric Data'!$B$2,'Metric Calcs'!W197,"")</f>
        <v/>
      </c>
      <c r="L201" s="37" t="str">
        <f>IF('Metric Data'!$B$2,J201,H201)</f>
        <v/>
      </c>
      <c r="M201" s="112" t="str">
        <f>IF('Metric Data'!$B$2,K201,I201)</f>
        <v/>
      </c>
      <c r="O201" s="32" t="str">
        <f t="shared" si="26"/>
        <v/>
      </c>
      <c r="Q201" s="112">
        <f t="shared" si="22"/>
        <v>-2.5908000000000024</v>
      </c>
      <c r="R201" s="32" t="str">
        <f t="shared" si="27"/>
        <v/>
      </c>
      <c r="S201" s="32" t="str">
        <f t="shared" si="28"/>
        <v/>
      </c>
      <c r="U201" s="32" t="str">
        <f t="shared" si="29"/>
        <v/>
      </c>
      <c r="X201" s="30" t="str" cm="1">
        <f t="array" ref="X201">IF($AP$21="INVERT",R201,IF(X200&gt;=$S$12,"",IF(R200="","",INDEX($R$18:$R$227,$U$17-ROWS($R$18:$R200)))))</f>
        <v/>
      </c>
      <c r="Y201" s="30" t="str">
        <f t="shared" si="30"/>
        <v/>
      </c>
      <c r="Z201" s="30" t="str">
        <f>IF(Z200="","",IF($AP$21="TYP",IF(S200="","",INDEX($S$18:$S$227,$U$17-ROWS($S$18:$S200))),IF($AP$21="INVERT",S201,"")))</f>
        <v/>
      </c>
      <c r="AA201" s="75" t="str">
        <f t="shared" si="31"/>
        <v/>
      </c>
      <c r="AB201" s="35"/>
      <c r="AC201" s="35"/>
      <c r="AD201" s="35"/>
      <c r="AE201" s="35"/>
      <c r="AF201" s="35"/>
      <c r="AG201" s="35"/>
      <c r="AH201" s="35"/>
      <c r="AI201" s="35"/>
      <c r="AJ201" s="35"/>
      <c r="AK201" s="35"/>
      <c r="AL201" s="35"/>
      <c r="AM201" s="35"/>
    </row>
    <row r="202" spans="1:39" x14ac:dyDescent="0.2">
      <c r="A202" s="32" t="str">
        <f t="shared" si="18"/>
        <v/>
      </c>
      <c r="C202" s="36" t="str">
        <f>IF(OR(C201&lt;30,C201=""),"",'Metric Calcs'!C198)</f>
        <v/>
      </c>
      <c r="D202" s="80" t="str">
        <f>IF(C202=0,"",'Metric Calcs'!D198)</f>
        <v/>
      </c>
      <c r="E202" s="80" t="str">
        <f>IF(OR(E200=1,E200=""),"",IF('Metric Data'!$B$2,'Metric Calcs'!E198,'Metric Calcs'!F198))</f>
        <v/>
      </c>
      <c r="F202" s="30" t="str">
        <f>IF(OR(F200=1,F200=""),"",IF('Metric Data'!$B$2,'Metric Calcs'!F198,'Metric Calcs'!H198))</f>
        <v/>
      </c>
      <c r="G202" s="30" t="str">
        <f>IF(OR(G200=1,G200=""),"",IF('Metric Data'!$B$2,'Metric Calcs'!G198,'Metric Calcs'!K198))</f>
        <v/>
      </c>
      <c r="H202" s="30" t="str">
        <f>IF(OR(H200=1,H200=""),"",IF('Metric Data'!$B$2,'Metric Calcs'!H198,'Metric Calcs'!N198))</f>
        <v/>
      </c>
      <c r="I202" s="30" t="str">
        <f>IF(OR(I200=1,I200=""),"",IF('Metric Data'!$B$2,'Metric Calcs'!K198,'Metric Calcs'!W198))</f>
        <v/>
      </c>
      <c r="J202" s="30" t="str">
        <f>IF('Metric Data'!$B$2,'Metric Calcs'!N198,"")</f>
        <v/>
      </c>
      <c r="K202" s="30" t="str">
        <f>IF('Metric Data'!$B$2,'Metric Calcs'!W198,"")</f>
        <v/>
      </c>
      <c r="L202" s="37" t="str">
        <f>IF('Metric Data'!$B$2,J202,H202)</f>
        <v/>
      </c>
      <c r="M202" s="112" t="str">
        <f>IF('Metric Data'!$B$2,K202,I202)</f>
        <v/>
      </c>
      <c r="O202" s="32" t="str">
        <f t="shared" si="26"/>
        <v/>
      </c>
      <c r="Q202" s="112">
        <f t="shared" si="22"/>
        <v>-2.6162000000000023</v>
      </c>
      <c r="R202" s="32" t="str">
        <f t="shared" si="27"/>
        <v/>
      </c>
      <c r="S202" s="32" t="str">
        <f t="shared" si="28"/>
        <v/>
      </c>
      <c r="U202" s="32" t="str">
        <f t="shared" si="29"/>
        <v/>
      </c>
      <c r="X202" s="30" t="str" cm="1">
        <f t="array" ref="X202">IF($AP$21="INVERT",R202,IF(X201&gt;=$S$12,"",IF(R201="","",INDEX($R$18:$R$227,$U$17-ROWS($R$18:$R201)))))</f>
        <v/>
      </c>
      <c r="Y202" s="30" t="str">
        <f t="shared" si="30"/>
        <v/>
      </c>
      <c r="Z202" s="30" t="str">
        <f>IF(Z201="","",IF($AP$21="TYP",IF(S201="","",INDEX($S$18:$S$227,$U$17-ROWS($S$18:$S201))),IF($AP$21="INVERT",S202,"")))</f>
        <v/>
      </c>
      <c r="AA202" s="75" t="str">
        <f t="shared" si="31"/>
        <v/>
      </c>
    </row>
    <row r="203" spans="1:39" x14ac:dyDescent="0.2">
      <c r="A203" s="32" t="str">
        <f t="shared" si="18"/>
        <v/>
      </c>
      <c r="B203" s="131"/>
      <c r="C203" s="36" t="str">
        <f>IF(OR(C202&lt;30,C202=""),"",'Metric Calcs'!C199)</f>
        <v/>
      </c>
      <c r="D203" s="80" t="str">
        <f>IF(C203=0,"",'Metric Calcs'!D199)</f>
        <v/>
      </c>
      <c r="E203" s="80" t="str">
        <f>IF(OR(E201=1,E201=""),"",IF('Metric Data'!$B$2,'Metric Calcs'!E199,'Metric Calcs'!F199))</f>
        <v/>
      </c>
      <c r="F203" s="30" t="str">
        <f>IF(OR(F201=1,F201=""),"",IF('Metric Data'!$B$2,'Metric Calcs'!F199,'Metric Calcs'!H199))</f>
        <v/>
      </c>
      <c r="G203" s="30" t="str">
        <f>IF(OR(G201=1,G201=""),"",IF('Metric Data'!$B$2,'Metric Calcs'!G199,'Metric Calcs'!K199))</f>
        <v/>
      </c>
      <c r="H203" s="30" t="str">
        <f>IF(OR(H201=1,H201=""),"",IF('Metric Data'!$B$2,'Metric Calcs'!H199,'Metric Calcs'!N199))</f>
        <v/>
      </c>
      <c r="I203" s="30" t="str">
        <f>IF(OR(I201=1,I201=""),"",IF('Metric Data'!$B$2,'Metric Calcs'!K199,'Metric Calcs'!W199))</f>
        <v/>
      </c>
      <c r="J203" s="30" t="str">
        <f>IF('Metric Data'!$B$2,'Metric Calcs'!N199,"")</f>
        <v/>
      </c>
      <c r="K203" s="30" t="str">
        <f>IF('Metric Data'!$B$2,'Metric Calcs'!W199,"")</f>
        <v/>
      </c>
      <c r="L203" s="37" t="str">
        <f>IF('Metric Data'!$B$2,J203,H203)</f>
        <v/>
      </c>
      <c r="M203" s="112" t="str">
        <f>IF('Metric Data'!$B$2,K203,I203)</f>
        <v/>
      </c>
      <c r="O203" s="32" t="str">
        <f t="shared" si="26"/>
        <v/>
      </c>
      <c r="Q203" s="112">
        <f t="shared" si="22"/>
        <v>-2.6416000000000022</v>
      </c>
      <c r="R203" s="32" t="str">
        <f t="shared" si="27"/>
        <v/>
      </c>
      <c r="S203" s="32" t="str">
        <f t="shared" si="28"/>
        <v/>
      </c>
      <c r="U203" s="32" t="str">
        <f t="shared" si="29"/>
        <v/>
      </c>
      <c r="X203" s="30" t="str" cm="1">
        <f t="array" ref="X203">IF($AP$21="INVERT",R203,IF(X202&gt;=$S$12,"",IF(R202="","",INDEX($R$18:$R$227,$U$17-ROWS($R$18:$R202)))))</f>
        <v/>
      </c>
      <c r="Y203" s="30" t="str">
        <f t="shared" si="30"/>
        <v/>
      </c>
      <c r="Z203" s="30" t="str">
        <f>IF(Z202="","",IF($AP$21="TYP",IF(S202="","",INDEX($S$18:$S$227,$U$17-ROWS($S$18:$S202))),IF($AP$21="INVERT",S203,"")))</f>
        <v/>
      </c>
      <c r="AA203" s="75" t="str">
        <f t="shared" si="31"/>
        <v/>
      </c>
    </row>
    <row r="204" spans="1:39" x14ac:dyDescent="0.2">
      <c r="A204" s="32" t="str">
        <f t="shared" si="18"/>
        <v/>
      </c>
      <c r="C204" s="36" t="str">
        <f>IF(OR(C203&lt;30,C203=""),"",'Metric Calcs'!C200)</f>
        <v/>
      </c>
      <c r="D204" s="80" t="str">
        <f>IF(C204=0,"",'Metric Calcs'!D200)</f>
        <v/>
      </c>
      <c r="E204" s="80" t="str">
        <f>IF(OR(E202=1,E202=""),"",IF('Metric Data'!$B$2,'Metric Calcs'!E200,'Metric Calcs'!F200))</f>
        <v/>
      </c>
      <c r="F204" s="30" t="str">
        <f>IF(OR(F202=1,F202=""),"",IF('Metric Data'!$B$2,'Metric Calcs'!F200,'Metric Calcs'!H200))</f>
        <v/>
      </c>
      <c r="G204" s="30" t="str">
        <f>IF(OR(G202=1,G202=""),"",IF('Metric Data'!$B$2,'Metric Calcs'!G200,'Metric Calcs'!K200))</f>
        <v/>
      </c>
      <c r="H204" s="30" t="str">
        <f>IF(OR(H202=1,H202=""),"",IF('Metric Data'!$B$2,'Metric Calcs'!H200,'Metric Calcs'!N200))</f>
        <v/>
      </c>
      <c r="I204" s="30" t="str">
        <f>IF(OR(I202=1,I202=""),"",IF('Metric Data'!$B$2,'Metric Calcs'!K200,'Metric Calcs'!W200))</f>
        <v/>
      </c>
      <c r="J204" s="30" t="str">
        <f>IF('Metric Data'!$B$2,'Metric Calcs'!N200,"")</f>
        <v/>
      </c>
      <c r="K204" s="30" t="str">
        <f>IF('Metric Data'!$B$2,'Metric Calcs'!W200,"")</f>
        <v/>
      </c>
      <c r="L204" s="37" t="str">
        <f>IF('Metric Data'!$B$2,J204,H204)</f>
        <v/>
      </c>
      <c r="M204" s="112" t="str">
        <f>IF('Metric Data'!$B$2,K204,I204)</f>
        <v/>
      </c>
      <c r="O204" s="32" t="str">
        <f t="shared" si="26"/>
        <v/>
      </c>
      <c r="Q204" s="112">
        <f t="shared" si="22"/>
        <v>-2.667000000000002</v>
      </c>
      <c r="R204" s="32" t="str">
        <f t="shared" si="27"/>
        <v/>
      </c>
      <c r="S204" s="32" t="str">
        <f t="shared" si="28"/>
        <v/>
      </c>
      <c r="U204" s="32" t="str">
        <f t="shared" si="29"/>
        <v/>
      </c>
      <c r="X204" s="30" t="str" cm="1">
        <f t="array" ref="X204">IF($AP$21="INVERT",R204,IF(X203&gt;=$S$12,"",IF(R203="","",INDEX($R$18:$R$227,$U$17-ROWS($R$18:$R203)))))</f>
        <v/>
      </c>
      <c r="Y204" s="30" t="str">
        <f t="shared" si="30"/>
        <v/>
      </c>
      <c r="Z204" s="30" t="str">
        <f>IF(Z203="","",IF($AP$21="TYP",IF(S203="","",INDEX($S$18:$S$227,$U$17-ROWS($S$18:$S203))),IF($AP$21="INVERT",S204,"")))</f>
        <v/>
      </c>
      <c r="AA204" s="75" t="str">
        <f t="shared" si="31"/>
        <v/>
      </c>
    </row>
    <row r="205" spans="1:39" x14ac:dyDescent="0.2">
      <c r="A205" s="32" t="str">
        <f t="shared" si="18"/>
        <v/>
      </c>
      <c r="C205" s="36" t="str">
        <f>IF(OR(C204&lt;30,C204=""),"",'Metric Calcs'!C201)</f>
        <v/>
      </c>
      <c r="D205" s="80" t="str">
        <f>IF(C205=0,"",'Metric Calcs'!D201)</f>
        <v/>
      </c>
      <c r="E205" s="80" t="str">
        <f>IF(OR(E203=1,E203=""),"",IF('Metric Data'!$B$2,'Metric Calcs'!E201,'Metric Calcs'!F201))</f>
        <v/>
      </c>
      <c r="F205" s="30" t="str">
        <f>IF(OR(F203=1,F203=""),"",IF('Metric Data'!$B$2,'Metric Calcs'!F201,'Metric Calcs'!H201))</f>
        <v/>
      </c>
      <c r="G205" s="30" t="str">
        <f>IF(OR(G203=1,G203=""),"",IF('Metric Data'!$B$2,'Metric Calcs'!G201,'Metric Calcs'!K201))</f>
        <v/>
      </c>
      <c r="H205" s="30" t="str">
        <f>IF(OR(H203=1,H203=""),"",IF('Metric Data'!$B$2,'Metric Calcs'!H201,'Metric Calcs'!N201))</f>
        <v/>
      </c>
      <c r="I205" s="30" t="str">
        <f>IF(OR(I203=1,I203=""),"",IF('Metric Data'!$B$2,'Metric Calcs'!K201,'Metric Calcs'!W201))</f>
        <v/>
      </c>
      <c r="J205" s="30" t="str">
        <f>IF('Metric Data'!$B$2,'Metric Calcs'!N201,"")</f>
        <v/>
      </c>
      <c r="K205" s="30" t="str">
        <f>IF('Metric Data'!$B$2,'Metric Calcs'!W201,"")</f>
        <v/>
      </c>
      <c r="L205" s="37" t="str">
        <f>IF('Metric Data'!$B$2,J205,H205)</f>
        <v/>
      </c>
      <c r="M205" s="112" t="str">
        <f>IF('Metric Data'!$B$2,K205,I205)</f>
        <v/>
      </c>
      <c r="O205" s="32" t="str">
        <f t="shared" si="26"/>
        <v/>
      </c>
      <c r="Q205" s="112">
        <f t="shared" si="22"/>
        <v>-2.6924000000000019</v>
      </c>
      <c r="R205" s="32" t="str">
        <f t="shared" si="27"/>
        <v/>
      </c>
      <c r="S205" s="32" t="str">
        <f t="shared" si="28"/>
        <v/>
      </c>
      <c r="U205" s="32" t="str">
        <f t="shared" si="29"/>
        <v/>
      </c>
      <c r="X205" s="30" t="str" cm="1">
        <f t="array" ref="X205">IF($AP$21="INVERT",R205,IF(X204&gt;=$S$12,"",IF(R204="","",INDEX($R$18:$R$227,$U$17-ROWS($R$18:$R204)))))</f>
        <v/>
      </c>
      <c r="Y205" s="30" t="str">
        <f t="shared" si="30"/>
        <v/>
      </c>
      <c r="Z205" s="30" t="str">
        <f>IF(Z204="","",IF($AP$21="TYP",IF(S204="","",INDEX($S$18:$S$227,$U$17-ROWS($S$18:$S204))),IF($AP$21="INVERT",S205,"")))</f>
        <v/>
      </c>
      <c r="AA205" s="75" t="str">
        <f t="shared" si="31"/>
        <v/>
      </c>
    </row>
    <row r="206" spans="1:39" x14ac:dyDescent="0.2">
      <c r="A206" s="32" t="str">
        <f t="shared" si="18"/>
        <v/>
      </c>
      <c r="C206" s="36" t="str">
        <f>IF(OR(C205&lt;30,C205=""),"",'Metric Calcs'!C202)</f>
        <v/>
      </c>
      <c r="D206" s="80" t="str">
        <f>IF(C206=0,"",'Metric Calcs'!D202)</f>
        <v/>
      </c>
      <c r="E206" s="80" t="str">
        <f>IF(OR(E204=1,E204=""),"",IF('Metric Data'!$B$2,'Metric Calcs'!E202,'Metric Calcs'!F202))</f>
        <v/>
      </c>
      <c r="F206" s="30" t="str">
        <f>IF(OR(F204=1,F204=""),"",IF('Metric Data'!$B$2,'Metric Calcs'!F202,'Metric Calcs'!H202))</f>
        <v/>
      </c>
      <c r="G206" s="30" t="str">
        <f>IF(OR(G204=1,G204=""),"",IF('Metric Data'!$B$2,'Metric Calcs'!G202,'Metric Calcs'!K202))</f>
        <v/>
      </c>
      <c r="H206" s="30" t="str">
        <f>IF(OR(H204=1,H204=""),"",IF('Metric Data'!$B$2,'Metric Calcs'!H202,'Metric Calcs'!N202))</f>
        <v/>
      </c>
      <c r="I206" s="30" t="str">
        <f>IF(OR(I204=1,I204=""),"",IF('Metric Data'!$B$2,'Metric Calcs'!K202,'Metric Calcs'!W202))</f>
        <v/>
      </c>
      <c r="J206" s="30" t="str">
        <f>IF('Metric Data'!$B$2,'Metric Calcs'!N202,"")</f>
        <v/>
      </c>
      <c r="K206" s="30" t="str">
        <f>IF('Metric Data'!$B$2,'Metric Calcs'!W202,"")</f>
        <v/>
      </c>
      <c r="L206" s="37" t="str">
        <f>IF('Metric Data'!$B$2,J206,H206)</f>
        <v/>
      </c>
      <c r="M206" s="112" t="str">
        <f>IF('Metric Data'!$B$2,K206,I206)</f>
        <v/>
      </c>
      <c r="O206" s="32" t="str">
        <f t="shared" si="26"/>
        <v/>
      </c>
      <c r="Q206" s="112">
        <f t="shared" si="22"/>
        <v>-2.7178000000000018</v>
      </c>
      <c r="R206" s="32" t="str">
        <f t="shared" si="27"/>
        <v/>
      </c>
      <c r="S206" s="32" t="str">
        <f t="shared" si="28"/>
        <v/>
      </c>
      <c r="U206" s="32" t="str">
        <f t="shared" si="29"/>
        <v/>
      </c>
      <c r="X206" s="30" t="str" cm="1">
        <f t="array" ref="X206">IF($AP$21="INVERT",R206,IF(X205&gt;=$S$12,"",IF(R205="","",INDEX($R$18:$R$227,$U$17-ROWS($R$18:$R205)))))</f>
        <v/>
      </c>
      <c r="Y206" s="30" t="str">
        <f t="shared" si="30"/>
        <v/>
      </c>
      <c r="Z206" s="30" t="str">
        <f>IF(Z205="","",IF($AP$21="TYP",IF(S205="","",INDEX($S$18:$S$227,$U$17-ROWS($S$18:$S205))),IF($AP$21="INVERT",S206,"")))</f>
        <v/>
      </c>
      <c r="AA206" s="75" t="str">
        <f t="shared" si="31"/>
        <v/>
      </c>
    </row>
    <row r="207" spans="1:39" x14ac:dyDescent="0.2">
      <c r="A207" s="32" t="str">
        <f t="shared" si="18"/>
        <v/>
      </c>
      <c r="C207" s="36" t="str">
        <f>IF(OR(C206&lt;30,C206=""),"",'Metric Calcs'!C203)</f>
        <v/>
      </c>
      <c r="D207" s="80" t="str">
        <f>IF(C207=0,"",'Metric Calcs'!D203)</f>
        <v/>
      </c>
      <c r="E207" s="80" t="str">
        <f>IF(OR(E205=1,E205=""),"",IF('Metric Data'!$B$2,'Metric Calcs'!E203,'Metric Calcs'!F203))</f>
        <v/>
      </c>
      <c r="F207" s="30" t="str">
        <f>IF(OR(F205=1,F205=""),"",IF('Metric Data'!$B$2,'Metric Calcs'!F203,'Metric Calcs'!H203))</f>
        <v/>
      </c>
      <c r="G207" s="30" t="str">
        <f>IF(OR(G205=1,G205=""),"",IF('Metric Data'!$B$2,'Metric Calcs'!G203,'Metric Calcs'!K203))</f>
        <v/>
      </c>
      <c r="H207" s="30" t="str">
        <f>IF(OR(H205=1,H205=""),"",IF('Metric Data'!$B$2,'Metric Calcs'!H203,'Metric Calcs'!N203))</f>
        <v/>
      </c>
      <c r="I207" s="30" t="str">
        <f>IF(OR(I205=1,I205=""),"",IF('Metric Data'!$B$2,'Metric Calcs'!K203,'Metric Calcs'!W203))</f>
        <v/>
      </c>
      <c r="J207" s="30" t="str">
        <f>IF('Metric Data'!$B$2,'Metric Calcs'!N203,"")</f>
        <v/>
      </c>
      <c r="K207" s="30" t="str">
        <f>IF('Metric Data'!$B$2,'Metric Calcs'!W203,"")</f>
        <v/>
      </c>
      <c r="L207" s="37" t="str">
        <f>IF('Metric Data'!$B$2,J207,H207)</f>
        <v/>
      </c>
      <c r="M207" s="112" t="str">
        <f>IF('Metric Data'!$B$2,K207,I207)</f>
        <v/>
      </c>
      <c r="O207" s="32" t="str">
        <f t="shared" si="26"/>
        <v/>
      </c>
      <c r="Q207" s="112">
        <f t="shared" si="22"/>
        <v>-2.7432000000000016</v>
      </c>
      <c r="R207" s="32" t="str">
        <f t="shared" si="27"/>
        <v/>
      </c>
      <c r="S207" s="32" t="str">
        <f t="shared" si="28"/>
        <v/>
      </c>
      <c r="U207" s="32" t="str">
        <f t="shared" si="29"/>
        <v/>
      </c>
      <c r="X207" s="30" t="str" cm="1">
        <f t="array" ref="X207">IF($AP$21="INVERT",R207,IF(X206&gt;=$S$12,"",IF(R206="","",INDEX($R$18:$R$227,$U$17-ROWS($R$18:$R206)))))</f>
        <v/>
      </c>
      <c r="Y207" s="30" t="str">
        <f t="shared" si="30"/>
        <v/>
      </c>
      <c r="Z207" s="30" t="str">
        <f>IF(Z206="","",IF($AP$21="TYP",IF(S206="","",INDEX($S$18:$S$227,$U$17-ROWS($S$18:$S206))),IF($AP$21="INVERT",S207,"")))</f>
        <v/>
      </c>
      <c r="AA207" s="75" t="str">
        <f t="shared" si="31"/>
        <v/>
      </c>
    </row>
    <row r="208" spans="1:39" x14ac:dyDescent="0.2">
      <c r="A208" s="32" t="str">
        <f t="shared" si="18"/>
        <v/>
      </c>
      <c r="C208" s="36" t="str">
        <f>IF(OR(C207&lt;30,C207=""),"",'Metric Calcs'!C204)</f>
        <v/>
      </c>
      <c r="D208" s="80" t="str">
        <f>IF(C208=0,"",'Metric Calcs'!D204)</f>
        <v/>
      </c>
      <c r="E208" s="80" t="str">
        <f>IF(OR(E206=1,E206=""),"",IF('Metric Data'!$B$2,'Metric Calcs'!E204,'Metric Calcs'!F204))</f>
        <v/>
      </c>
      <c r="F208" s="30" t="str">
        <f>IF(OR(F206=1,F206=""),"",IF('Metric Data'!$B$2,'Metric Calcs'!F204,'Metric Calcs'!H204))</f>
        <v/>
      </c>
      <c r="G208" s="30" t="str">
        <f>IF(OR(G206=1,G206=""),"",IF('Metric Data'!$B$2,'Metric Calcs'!G204,'Metric Calcs'!K204))</f>
        <v/>
      </c>
      <c r="H208" s="30" t="str">
        <f>IF(OR(H206=1,H206=""),"",IF('Metric Data'!$B$2,'Metric Calcs'!H204,'Metric Calcs'!N204))</f>
        <v/>
      </c>
      <c r="I208" s="30" t="str">
        <f>IF(OR(I206=1,I206=""),"",IF('Metric Data'!$B$2,'Metric Calcs'!K204,'Metric Calcs'!W204))</f>
        <v/>
      </c>
      <c r="J208" s="30" t="str">
        <f>IF('Metric Data'!$B$2,'Metric Calcs'!N204,"")</f>
        <v/>
      </c>
      <c r="K208" s="30" t="str">
        <f>IF('Metric Data'!$B$2,'Metric Calcs'!W204,"")</f>
        <v/>
      </c>
      <c r="L208" s="37" t="str">
        <f>IF('Metric Data'!$B$2,J208,H208)</f>
        <v/>
      </c>
      <c r="M208" s="112" t="str">
        <f>IF('Metric Data'!$B$2,K208,I208)</f>
        <v/>
      </c>
      <c r="O208" s="32" t="str">
        <f t="shared" si="26"/>
        <v/>
      </c>
      <c r="Q208" s="112">
        <f t="shared" si="22"/>
        <v>-2.7686000000000015</v>
      </c>
      <c r="R208" s="32" t="str">
        <f t="shared" si="27"/>
        <v/>
      </c>
      <c r="S208" s="32" t="str">
        <f t="shared" si="28"/>
        <v/>
      </c>
      <c r="U208" s="32" t="str">
        <f t="shared" si="29"/>
        <v/>
      </c>
      <c r="X208" s="30" t="str" cm="1">
        <f t="array" ref="X208">IF($AP$21="INVERT",R208,IF(X207&gt;=$S$12,"",IF(R207="","",INDEX($R$18:$R$227,$U$17-ROWS($R$18:$R207)))))</f>
        <v/>
      </c>
      <c r="Y208" s="30" t="str">
        <f t="shared" si="30"/>
        <v/>
      </c>
      <c r="Z208" s="30" t="str">
        <f>IF(Z207="","",IF($AP$21="TYP",IF(S207="","",INDEX($S$18:$S$227,$U$17-ROWS($S$18:$S207))),IF($AP$21="INVERT",S208,"")))</f>
        <v/>
      </c>
      <c r="AA208" s="75" t="str">
        <f t="shared" si="31"/>
        <v/>
      </c>
    </row>
    <row r="209" spans="1:27" x14ac:dyDescent="0.2">
      <c r="A209" s="32" t="str">
        <f t="shared" si="18"/>
        <v/>
      </c>
      <c r="C209" s="36" t="str">
        <f>IF(OR(C208&lt;30,C208=""),"",'Metric Calcs'!C205)</f>
        <v/>
      </c>
      <c r="D209" s="80" t="str">
        <f>IF(C209=0,"",'Metric Calcs'!D205)</f>
        <v/>
      </c>
      <c r="E209" s="80" t="str">
        <f>IF(OR(E207=1,E207=""),"",IF('Metric Data'!$B$2,'Metric Calcs'!E205,'Metric Calcs'!F205))</f>
        <v/>
      </c>
      <c r="F209" s="30" t="str">
        <f>IF(OR(F207=1,F207=""),"",IF('Metric Data'!$B$2,'Metric Calcs'!F205,'Metric Calcs'!H205))</f>
        <v/>
      </c>
      <c r="G209" s="30" t="str">
        <f>IF(OR(G207=1,G207=""),"",IF('Metric Data'!$B$2,'Metric Calcs'!G205,'Metric Calcs'!K205))</f>
        <v/>
      </c>
      <c r="H209" s="30" t="str">
        <f>IF(OR(H207=1,H207=""),"",IF('Metric Data'!$B$2,'Metric Calcs'!H205,'Metric Calcs'!N205))</f>
        <v/>
      </c>
      <c r="I209" s="30" t="str">
        <f>IF(OR(I207=1,I207=""),"",IF('Metric Data'!$B$2,'Metric Calcs'!K205,'Metric Calcs'!W205))</f>
        <v/>
      </c>
      <c r="J209" s="30" t="str">
        <f>IF('Metric Data'!$B$2,'Metric Calcs'!N205,"")</f>
        <v/>
      </c>
      <c r="K209" s="30" t="str">
        <f>IF('Metric Data'!$B$2,'Metric Calcs'!W205,"")</f>
        <v/>
      </c>
      <c r="L209" s="37" t="str">
        <f>IF('Metric Data'!$B$2,J209,H209)</f>
        <v/>
      </c>
      <c r="M209" s="112" t="str">
        <f>IF('Metric Data'!$B$2,K209,I209)</f>
        <v/>
      </c>
      <c r="O209" s="32" t="str">
        <f t="shared" si="26"/>
        <v/>
      </c>
      <c r="Q209" s="112">
        <f t="shared" si="22"/>
        <v>-2.7940000000000014</v>
      </c>
      <c r="R209" s="32" t="str">
        <f t="shared" si="27"/>
        <v/>
      </c>
      <c r="S209" s="32" t="str">
        <f t="shared" si="28"/>
        <v/>
      </c>
      <c r="U209" s="32" t="str">
        <f t="shared" si="29"/>
        <v/>
      </c>
      <c r="X209" s="30" t="str" cm="1">
        <f t="array" ref="X209">IF($AP$21="INVERT",R209,IF(X208&gt;=$S$12,"",IF(R208="","",INDEX($R$18:$R$227,$U$17-ROWS($R$18:$R208)))))</f>
        <v/>
      </c>
      <c r="Y209" s="30" t="str">
        <f t="shared" si="30"/>
        <v/>
      </c>
      <c r="Z209" s="30" t="str">
        <f>IF(Z208="","",IF($AP$21="TYP",IF(S208="","",INDEX($S$18:$S$227,$U$17-ROWS($S$18:$S208))),IF($AP$21="INVERT",S209,"")))</f>
        <v/>
      </c>
      <c r="AA209" s="75" t="str">
        <f t="shared" si="31"/>
        <v/>
      </c>
    </row>
    <row r="210" spans="1:27" x14ac:dyDescent="0.2">
      <c r="A210" s="32" t="str">
        <f t="shared" ref="A210:A227" si="32">IF(C210&lt;&gt;"",A209+1,"")</f>
        <v/>
      </c>
      <c r="C210" s="36" t="str">
        <f>IF(OR(C209&lt;30,C209=""),"",'Metric Calcs'!C206)</f>
        <v/>
      </c>
      <c r="D210" s="80" t="str">
        <f>IF(C210=0,"",'Metric Calcs'!D206)</f>
        <v/>
      </c>
      <c r="E210" s="80" t="str">
        <f>IF(OR(E208=1,E208=""),"",IF('Metric Data'!$B$2,'Metric Calcs'!E206,'Metric Calcs'!F206))</f>
        <v/>
      </c>
      <c r="F210" s="30" t="str">
        <f>IF(OR(F208=1,F208=""),"",IF('Metric Data'!$B$2,'Metric Calcs'!F206,'Metric Calcs'!H206))</f>
        <v/>
      </c>
      <c r="G210" s="30" t="str">
        <f>IF(OR(G208=1,G208=""),"",IF('Metric Data'!$B$2,'Metric Calcs'!G206,'Metric Calcs'!K206))</f>
        <v/>
      </c>
      <c r="H210" s="30" t="str">
        <f>IF(OR(H208=1,H208=""),"",IF('Metric Data'!$B$2,'Metric Calcs'!H206,'Metric Calcs'!N206))</f>
        <v/>
      </c>
      <c r="I210" s="30" t="str">
        <f>IF(OR(I208=1,I208=""),"",IF('Metric Data'!$B$2,'Metric Calcs'!K206,'Metric Calcs'!W206))</f>
        <v/>
      </c>
      <c r="J210" s="30" t="str">
        <f>IF('Metric Data'!$B$2,'Metric Calcs'!N206,"")</f>
        <v/>
      </c>
      <c r="K210" s="30" t="str">
        <f>IF('Metric Data'!$B$2,'Metric Calcs'!W206,"")</f>
        <v/>
      </c>
      <c r="L210" s="37" t="str">
        <f>IF('Metric Data'!$B$2,J210,H210)</f>
        <v/>
      </c>
      <c r="M210" s="112" t="str">
        <f>IF('Metric Data'!$B$2,K210,I210)</f>
        <v/>
      </c>
      <c r="O210" s="32" t="str">
        <f t="shared" si="26"/>
        <v/>
      </c>
      <c r="Q210" s="112">
        <f t="shared" si="22"/>
        <v>-2.8194000000000012</v>
      </c>
      <c r="R210" s="32" t="str">
        <f t="shared" si="27"/>
        <v/>
      </c>
      <c r="S210" s="32" t="str">
        <f t="shared" si="28"/>
        <v/>
      </c>
      <c r="U210" s="32" t="str">
        <f t="shared" si="29"/>
        <v/>
      </c>
      <c r="X210" s="30" t="str" cm="1">
        <f t="array" ref="X210">IF($AP$21="INVERT",R210,IF(X209&gt;=$S$12,"",IF(R209="","",INDEX($R$18:$R$227,$U$17-ROWS($R$18:$R209)))))</f>
        <v/>
      </c>
      <c r="Y210" s="30" t="str">
        <f t="shared" si="30"/>
        <v/>
      </c>
      <c r="Z210" s="30" t="str">
        <f>IF(Z209="","",IF($AP$21="TYP",IF(S209="","",INDEX($S$18:$S$227,$U$17-ROWS($S$18:$S209))),IF($AP$21="INVERT",S210,"")))</f>
        <v/>
      </c>
      <c r="AA210" s="75" t="str">
        <f t="shared" si="31"/>
        <v/>
      </c>
    </row>
    <row r="211" spans="1:27" x14ac:dyDescent="0.2">
      <c r="A211" s="32" t="str">
        <f t="shared" si="32"/>
        <v/>
      </c>
      <c r="C211" s="36" t="str">
        <f>IF(OR(C210&lt;30,C210=""),"",'Metric Calcs'!C207)</f>
        <v/>
      </c>
      <c r="D211" s="80" t="str">
        <f>IF(C211=0,"",'Metric Calcs'!D207)</f>
        <v/>
      </c>
      <c r="E211" s="80" t="str">
        <f>IF(OR(E209=1,E209=""),"",IF('Metric Data'!$B$2,'Metric Calcs'!E207,'Metric Calcs'!F207))</f>
        <v/>
      </c>
      <c r="F211" s="30" t="str">
        <f>IF(OR(F209=1,F209=""),"",IF('Metric Data'!$B$2,'Metric Calcs'!F207,'Metric Calcs'!H207))</f>
        <v/>
      </c>
      <c r="G211" s="30" t="str">
        <f>IF(OR(G209=1,G209=""),"",IF('Metric Data'!$B$2,'Metric Calcs'!G207,'Metric Calcs'!K207))</f>
        <v/>
      </c>
      <c r="H211" s="30" t="str">
        <f>IF(OR(H209=1,H209=""),"",IF('Metric Data'!$B$2,'Metric Calcs'!H207,'Metric Calcs'!N207))</f>
        <v/>
      </c>
      <c r="I211" s="30" t="str">
        <f>IF(OR(I209=1,I209=""),"",IF('Metric Data'!$B$2,'Metric Calcs'!K207,'Metric Calcs'!W207))</f>
        <v/>
      </c>
      <c r="J211" s="30" t="str">
        <f>IF('Metric Data'!$B$2,'Metric Calcs'!N207,"")</f>
        <v/>
      </c>
      <c r="K211" s="30" t="str">
        <f>IF('Metric Data'!$B$2,'Metric Calcs'!W207,"")</f>
        <v/>
      </c>
      <c r="L211" s="37" t="str">
        <f>IF('Metric Data'!$B$2,J211,H211)</f>
        <v/>
      </c>
      <c r="M211" s="112" t="str">
        <f>IF('Metric Data'!$B$2,K211,I211)</f>
        <v/>
      </c>
      <c r="O211" s="32" t="str">
        <f t="shared" si="26"/>
        <v/>
      </c>
      <c r="Q211" s="112">
        <f t="shared" si="22"/>
        <v>-2.8448000000000011</v>
      </c>
      <c r="R211" s="32" t="str">
        <f t="shared" si="27"/>
        <v/>
      </c>
      <c r="S211" s="32" t="str">
        <f t="shared" si="28"/>
        <v/>
      </c>
      <c r="U211" s="32" t="str">
        <f t="shared" si="29"/>
        <v/>
      </c>
      <c r="X211" s="30" t="str" cm="1">
        <f t="array" ref="X211">IF($AP$21="INVERT",R211,IF(X210&gt;=$S$12,"",IF(R210="","",INDEX($R$18:$R$227,$U$17-ROWS($R$18:$R210)))))</f>
        <v/>
      </c>
      <c r="Y211" s="30" t="str">
        <f t="shared" si="30"/>
        <v/>
      </c>
      <c r="Z211" s="30" t="str">
        <f>IF(Z210="","",IF($AP$21="TYP",IF(S210="","",INDEX($S$18:$S$227,$U$17-ROWS($S$18:$S210))),IF($AP$21="INVERT",S211,"")))</f>
        <v/>
      </c>
      <c r="AA211" s="75" t="str">
        <f t="shared" si="31"/>
        <v/>
      </c>
    </row>
    <row r="212" spans="1:27" x14ac:dyDescent="0.2">
      <c r="A212" s="32" t="str">
        <f t="shared" si="32"/>
        <v/>
      </c>
      <c r="C212" s="36" t="str">
        <f>IF(OR(C211&lt;30,C211=""),"",'Metric Calcs'!C208)</f>
        <v/>
      </c>
      <c r="D212" s="80" t="str">
        <f>IF(C212=0,"",'Metric Calcs'!D208)</f>
        <v/>
      </c>
      <c r="E212" s="80" t="str">
        <f>IF(OR(E210=1,E210=""),"",IF('Metric Data'!$B$2,'Metric Calcs'!E208,'Metric Calcs'!F208))</f>
        <v/>
      </c>
      <c r="F212" s="30" t="str">
        <f>IF(OR(F210=1,F210=""),"",IF('Metric Data'!$B$2,'Metric Calcs'!F208,'Metric Calcs'!H208))</f>
        <v/>
      </c>
      <c r="G212" s="30" t="str">
        <f>IF(OR(G210=1,G210=""),"",IF('Metric Data'!$B$2,'Metric Calcs'!G208,'Metric Calcs'!K208))</f>
        <v/>
      </c>
      <c r="H212" s="30" t="str">
        <f>IF(OR(H210=1,H210=""),"",IF('Metric Data'!$B$2,'Metric Calcs'!H208,'Metric Calcs'!N208))</f>
        <v/>
      </c>
      <c r="I212" s="30" t="str">
        <f>IF(OR(I210=1,I210=""),"",IF('Metric Data'!$B$2,'Metric Calcs'!K208,'Metric Calcs'!W208))</f>
        <v/>
      </c>
      <c r="J212" s="30" t="str">
        <f>IF('Metric Data'!$B$2,'Metric Calcs'!N208,"")</f>
        <v/>
      </c>
      <c r="K212" s="30" t="str">
        <f>IF('Metric Data'!$B$2,'Metric Calcs'!W208,"")</f>
        <v/>
      </c>
      <c r="L212" s="37" t="str">
        <f>IF('Metric Data'!$B$2,J212,H212)</f>
        <v/>
      </c>
      <c r="M212" s="112" t="str">
        <f>IF('Metric Data'!$B$2,K212,I212)</f>
        <v/>
      </c>
      <c r="O212" s="32" t="str">
        <f t="shared" si="26"/>
        <v/>
      </c>
      <c r="Q212" s="112">
        <f t="shared" si="22"/>
        <v>-2.870200000000001</v>
      </c>
      <c r="R212" s="32" t="str">
        <f t="shared" si="27"/>
        <v/>
      </c>
      <c r="S212" s="32" t="str">
        <f t="shared" si="28"/>
        <v/>
      </c>
      <c r="U212" s="32" t="str">
        <f t="shared" si="29"/>
        <v/>
      </c>
      <c r="X212" s="30" t="str" cm="1">
        <f t="array" ref="X212">IF($AP$21="INVERT",R212,IF(X211&gt;=$S$12,"",IF(R211="","",INDEX($R$18:$R$227,$U$17-ROWS($R$18:$R211)))))</f>
        <v/>
      </c>
      <c r="Y212" s="30" t="str">
        <f t="shared" si="30"/>
        <v/>
      </c>
      <c r="Z212" s="30" t="str">
        <f>IF(Z211="","",IF($AP$21="TYP",IF(S211="","",INDEX($S$18:$S$227,$U$17-ROWS($S$18:$S211))),IF($AP$21="INVERT",S212,"")))</f>
        <v/>
      </c>
      <c r="AA212" s="75" t="str">
        <f t="shared" si="31"/>
        <v/>
      </c>
    </row>
    <row r="213" spans="1:27" x14ac:dyDescent="0.2">
      <c r="A213" s="32" t="str">
        <f t="shared" si="32"/>
        <v/>
      </c>
      <c r="C213" s="36" t="str">
        <f>IF(OR(C212&lt;30,C212=""),"",'Metric Calcs'!C209)</f>
        <v/>
      </c>
      <c r="D213" s="80" t="str">
        <f>IF(C213=0,"",'Metric Calcs'!D209)</f>
        <v/>
      </c>
      <c r="E213" s="80" t="str">
        <f>IF(OR(E211=1,E211=""),"",IF('Metric Data'!$B$2,'Metric Calcs'!E209,'Metric Calcs'!F209))</f>
        <v/>
      </c>
      <c r="F213" s="30" t="str">
        <f>IF(OR(F211=1,F211=""),"",IF('Metric Data'!$B$2,'Metric Calcs'!F209,'Metric Calcs'!H209))</f>
        <v/>
      </c>
      <c r="G213" s="30" t="str">
        <f>IF(OR(G211=1,G211=""),"",IF('Metric Data'!$B$2,'Metric Calcs'!G209,'Metric Calcs'!K209))</f>
        <v/>
      </c>
      <c r="H213" s="30" t="str">
        <f>IF(OR(H211=1,H211=""),"",IF('Metric Data'!$B$2,'Metric Calcs'!H209,'Metric Calcs'!N209))</f>
        <v/>
      </c>
      <c r="I213" s="30" t="str">
        <f>IF(OR(I211=1,I211=""),"",IF('Metric Data'!$B$2,'Metric Calcs'!K209,'Metric Calcs'!W209))</f>
        <v/>
      </c>
      <c r="J213" s="30" t="str">
        <f>IF('Metric Data'!$B$2,'Metric Calcs'!N209,"")</f>
        <v/>
      </c>
      <c r="K213" s="30" t="str">
        <f>IF('Metric Data'!$B$2,'Metric Calcs'!W209,"")</f>
        <v/>
      </c>
      <c r="L213" s="37" t="str">
        <f>IF('Metric Data'!$B$2,J213,H213)</f>
        <v/>
      </c>
      <c r="M213" s="112" t="str">
        <f>IF('Metric Data'!$B$2,K213,I213)</f>
        <v/>
      </c>
      <c r="O213" s="32" t="str">
        <f t="shared" si="26"/>
        <v/>
      </c>
      <c r="Q213" s="112">
        <f t="shared" si="22"/>
        <v>-2.8956000000000008</v>
      </c>
      <c r="R213" s="32" t="str">
        <f t="shared" si="27"/>
        <v/>
      </c>
      <c r="S213" s="32" t="str">
        <f t="shared" si="28"/>
        <v/>
      </c>
      <c r="U213" s="32" t="str">
        <f t="shared" si="29"/>
        <v/>
      </c>
      <c r="X213" s="30" t="str" cm="1">
        <f t="array" ref="X213">IF($AP$21="INVERT",R213,IF(X212&gt;=$S$12,"",IF(R212="","",INDEX($R$18:$R$227,$U$17-ROWS($R$18:$R212)))))</f>
        <v/>
      </c>
      <c r="Y213" s="30" t="str">
        <f t="shared" si="30"/>
        <v/>
      </c>
      <c r="Z213" s="30" t="str">
        <f>IF(Z212="","",IF($AP$21="TYP",IF(S212="","",INDEX($S$18:$S$227,$U$17-ROWS($S$18:$S212))),IF($AP$21="INVERT",S213,"")))</f>
        <v/>
      </c>
      <c r="AA213" s="75" t="str">
        <f t="shared" si="31"/>
        <v/>
      </c>
    </row>
    <row r="214" spans="1:27" x14ac:dyDescent="0.2">
      <c r="A214" s="32" t="str">
        <f t="shared" si="32"/>
        <v/>
      </c>
      <c r="C214" s="36" t="str">
        <f>IF(OR(C213&lt;30,C213=""),"",'Metric Calcs'!C210)</f>
        <v/>
      </c>
      <c r="D214" s="80" t="str">
        <f>IF(C214=0,"",'Metric Calcs'!D210)</f>
        <v/>
      </c>
      <c r="E214" s="80" t="str">
        <f>IF(OR(E212=1,E212=""),"",IF('Metric Data'!$B$2,'Metric Calcs'!E210,'Metric Calcs'!F210))</f>
        <v/>
      </c>
      <c r="F214" s="30" t="str">
        <f>IF(OR(F212=1,F212=""),"",IF('Metric Data'!$B$2,'Metric Calcs'!F210,'Metric Calcs'!H210))</f>
        <v/>
      </c>
      <c r="G214" s="30" t="str">
        <f>IF(OR(G212=1,G212=""),"",IF('Metric Data'!$B$2,'Metric Calcs'!G210,'Metric Calcs'!K210))</f>
        <v/>
      </c>
      <c r="H214" s="30" t="str">
        <f>IF(OR(H212=1,H212=""),"",IF('Metric Data'!$B$2,'Metric Calcs'!H210,'Metric Calcs'!N210))</f>
        <v/>
      </c>
      <c r="I214" s="30" t="str">
        <f>IF(OR(I212=1,I212=""),"",IF('Metric Data'!$B$2,'Metric Calcs'!K210,'Metric Calcs'!W210))</f>
        <v/>
      </c>
      <c r="J214" s="30" t="str">
        <f>IF('Metric Data'!$B$2,'Metric Calcs'!N210,"")</f>
        <v/>
      </c>
      <c r="K214" s="30" t="str">
        <f>IF('Metric Data'!$B$2,'Metric Calcs'!W210,"")</f>
        <v/>
      </c>
      <c r="L214" s="37" t="str">
        <f>IF('Metric Data'!$B$2,J214,H214)</f>
        <v/>
      </c>
      <c r="M214" s="112" t="str">
        <f>IF('Metric Data'!$B$2,K214,I214)</f>
        <v/>
      </c>
      <c r="O214" s="32" t="str">
        <f t="shared" si="26"/>
        <v/>
      </c>
      <c r="Q214" s="112">
        <f t="shared" si="22"/>
        <v>-2.9210000000000007</v>
      </c>
      <c r="R214" s="32" t="str">
        <f t="shared" si="27"/>
        <v/>
      </c>
      <c r="S214" s="32" t="str">
        <f t="shared" si="28"/>
        <v/>
      </c>
      <c r="U214" s="32" t="str">
        <f t="shared" si="29"/>
        <v/>
      </c>
      <c r="X214" s="30" t="str" cm="1">
        <f t="array" ref="X214">IF($AP$21="INVERT",R214,IF(X213&gt;=$S$12,"",IF(R213="","",INDEX($R$18:$R$227,$U$17-ROWS($R$18:$R213)))))</f>
        <v/>
      </c>
      <c r="Y214" s="30" t="str">
        <f t="shared" si="30"/>
        <v/>
      </c>
      <c r="Z214" s="30" t="str">
        <f>IF(Z213="","",IF($AP$21="TYP",IF(S213="","",INDEX($S$18:$S$227,$U$17-ROWS($S$18:$S213))),IF($AP$21="INVERT",S214,"")))</f>
        <v/>
      </c>
      <c r="AA214" s="75" t="str">
        <f t="shared" si="31"/>
        <v/>
      </c>
    </row>
    <row r="215" spans="1:27" x14ac:dyDescent="0.2">
      <c r="A215" s="32" t="str">
        <f t="shared" si="32"/>
        <v/>
      </c>
      <c r="C215" s="36" t="str">
        <f>IF(OR(C214&lt;30,C214=""),"",'Metric Calcs'!C211)</f>
        <v/>
      </c>
      <c r="D215" s="80" t="str">
        <f>IF(C215=0,"",'Metric Calcs'!D211)</f>
        <v/>
      </c>
      <c r="E215" s="80" t="str">
        <f>IF(OR(E213=1,E213=""),"",IF('Metric Data'!$B$2,'Metric Calcs'!E211,'Metric Calcs'!F211))</f>
        <v/>
      </c>
      <c r="F215" s="30" t="str">
        <f>IF(OR(F213=1,F213=""),"",IF('Metric Data'!$B$2,'Metric Calcs'!F211,'Metric Calcs'!H211))</f>
        <v/>
      </c>
      <c r="G215" s="30" t="str">
        <f>IF(OR(G213=1,G213=""),"",IF('Metric Data'!$B$2,'Metric Calcs'!G211,'Metric Calcs'!K211))</f>
        <v/>
      </c>
      <c r="H215" s="30" t="str">
        <f>IF(OR(H213=1,H213=""),"",IF('Metric Data'!$B$2,'Metric Calcs'!H211,'Metric Calcs'!N211))</f>
        <v/>
      </c>
      <c r="I215" s="30" t="str">
        <f>IF(OR(I213=1,I213=""),"",IF('Metric Data'!$B$2,'Metric Calcs'!K211,'Metric Calcs'!W211))</f>
        <v/>
      </c>
      <c r="J215" s="30" t="str">
        <f>IF('Metric Data'!$B$2,'Metric Calcs'!N211,"")</f>
        <v/>
      </c>
      <c r="K215" s="30" t="str">
        <f>IF('Metric Data'!$B$2,'Metric Calcs'!W211,"")</f>
        <v/>
      </c>
      <c r="L215" s="37" t="str">
        <f>IF('Metric Data'!$B$2,J215,H215)</f>
        <v/>
      </c>
      <c r="M215" s="112" t="str">
        <f>IF('Metric Data'!$B$2,K215,I215)</f>
        <v/>
      </c>
      <c r="O215" s="32" t="str">
        <f t="shared" si="26"/>
        <v/>
      </c>
      <c r="Q215" s="112">
        <f t="shared" si="22"/>
        <v>-2.9464000000000006</v>
      </c>
      <c r="R215" s="32" t="str">
        <f t="shared" si="27"/>
        <v/>
      </c>
      <c r="S215" s="32" t="str">
        <f t="shared" si="28"/>
        <v/>
      </c>
      <c r="U215" s="32" t="str">
        <f t="shared" si="29"/>
        <v/>
      </c>
      <c r="X215" s="30" t="str" cm="1">
        <f t="array" ref="X215">IF($AP$21="INVERT",R215,IF(X214&gt;=$S$12,"",IF(R214="","",INDEX($R$18:$R$227,$U$17-ROWS($R$18:$R214)))))</f>
        <v/>
      </c>
      <c r="Y215" s="30" t="str">
        <f t="shared" si="30"/>
        <v/>
      </c>
      <c r="Z215" s="30" t="str">
        <f>IF(Z214="","",IF($AP$21="TYP",IF(S214="","",INDEX($S$18:$S$227,$U$17-ROWS($S$18:$S214))),IF($AP$21="INVERT",S215,"")))</f>
        <v/>
      </c>
      <c r="AA215" s="75" t="str">
        <f t="shared" si="31"/>
        <v/>
      </c>
    </row>
    <row r="216" spans="1:27" x14ac:dyDescent="0.2">
      <c r="A216" s="32" t="str">
        <f t="shared" si="32"/>
        <v/>
      </c>
      <c r="C216" s="36" t="str">
        <f>IF(OR(C215&lt;30,C215=""),"",'Metric Calcs'!C212)</f>
        <v/>
      </c>
      <c r="D216" s="80" t="str">
        <f>IF(C216=0,"",'Metric Calcs'!D212)</f>
        <v/>
      </c>
      <c r="E216" s="80" t="str">
        <f>IF(OR(E214=1,E214=""),"",IF('Metric Data'!$B$2,'Metric Calcs'!E212,'Metric Calcs'!F212))</f>
        <v/>
      </c>
      <c r="F216" s="30" t="str">
        <f>IF(OR(F214=1,F214=""),"",IF('Metric Data'!$B$2,'Metric Calcs'!F212,'Metric Calcs'!H212))</f>
        <v/>
      </c>
      <c r="G216" s="30" t="str">
        <f>IF(OR(G214=1,G214=""),"",IF('Metric Data'!$B$2,'Metric Calcs'!G212,'Metric Calcs'!K212))</f>
        <v/>
      </c>
      <c r="H216" s="30" t="str">
        <f>IF(OR(H214=1,H214=""),"",IF('Metric Data'!$B$2,'Metric Calcs'!H212,'Metric Calcs'!N212))</f>
        <v/>
      </c>
      <c r="I216" s="30" t="str">
        <f>IF(OR(I214=1,I214=""),"",IF('Metric Data'!$B$2,'Metric Calcs'!K212,'Metric Calcs'!W212))</f>
        <v/>
      </c>
      <c r="J216" s="30" t="str">
        <f>IF('Metric Data'!$B$2,'Metric Calcs'!N212,"")</f>
        <v/>
      </c>
      <c r="K216" s="30" t="str">
        <f>IF('Metric Data'!$B$2,'Metric Calcs'!W212,"")</f>
        <v/>
      </c>
      <c r="L216" s="37" t="str">
        <f>IF('Metric Data'!$B$2,J216,H216)</f>
        <v/>
      </c>
      <c r="M216" s="112" t="str">
        <f>IF('Metric Data'!$B$2,K216,I216)</f>
        <v/>
      </c>
      <c r="O216" s="32" t="str">
        <f t="shared" si="26"/>
        <v/>
      </c>
      <c r="Q216" s="112">
        <f t="shared" si="22"/>
        <v>-2.9718000000000004</v>
      </c>
      <c r="R216" s="32" t="str">
        <f t="shared" si="27"/>
        <v/>
      </c>
      <c r="S216" s="32" t="str">
        <f t="shared" si="28"/>
        <v/>
      </c>
      <c r="U216" s="32" t="str">
        <f t="shared" si="29"/>
        <v/>
      </c>
      <c r="X216" s="30" t="str" cm="1">
        <f t="array" ref="X216">IF($AP$21="INVERT",R216,IF(X215&gt;=$S$12,"",IF(R215="","",INDEX($R$18:$R$227,$U$17-ROWS($R$18:$R215)))))</f>
        <v/>
      </c>
      <c r="Y216" s="30" t="str">
        <f t="shared" si="30"/>
        <v/>
      </c>
      <c r="Z216" s="30" t="str">
        <f>IF(Z215="","",IF($AP$21="TYP",IF(S215="","",INDEX($S$18:$S$227,$U$17-ROWS($S$18:$S215))),IF($AP$21="INVERT",S216,"")))</f>
        <v/>
      </c>
      <c r="AA216" s="75" t="str">
        <f t="shared" si="31"/>
        <v/>
      </c>
    </row>
    <row r="217" spans="1:27" x14ac:dyDescent="0.2">
      <c r="A217" s="32" t="str">
        <f t="shared" si="32"/>
        <v/>
      </c>
      <c r="C217" s="36" t="str">
        <f>IF(OR(C216&lt;30,C216=""),"",'Metric Calcs'!C213)</f>
        <v/>
      </c>
      <c r="D217" s="80" t="str">
        <f>IF(C217=0,"",'Metric Calcs'!D213)</f>
        <v/>
      </c>
      <c r="E217" s="80" t="str">
        <f>IF(OR(E215=1,E215=""),"",IF('Metric Data'!$B$2,'Metric Calcs'!E213,'Metric Calcs'!F213))</f>
        <v/>
      </c>
      <c r="F217" s="30" t="str">
        <f>IF(OR(F215=1,F215=""),"",IF('Metric Data'!$B$2,'Metric Calcs'!F213,'Metric Calcs'!H213))</f>
        <v/>
      </c>
      <c r="G217" s="30" t="str">
        <f>IF(OR(G215=1,G215=""),"",IF('Metric Data'!$B$2,'Metric Calcs'!G213,'Metric Calcs'!K213))</f>
        <v/>
      </c>
      <c r="H217" s="30" t="str">
        <f>IF(OR(H215=1,H215=""),"",IF('Metric Data'!$B$2,'Metric Calcs'!H213,'Metric Calcs'!N213))</f>
        <v/>
      </c>
      <c r="I217" s="30" t="str">
        <f>IF(OR(I215=1,I215=""),"",IF('Metric Data'!$B$2,'Metric Calcs'!K213,'Metric Calcs'!W213))</f>
        <v/>
      </c>
      <c r="J217" s="30" t="str">
        <f>IF('Metric Data'!$B$2,'Metric Calcs'!N213,"")</f>
        <v/>
      </c>
      <c r="K217" s="30" t="str">
        <f>IF('Metric Data'!$B$2,'Metric Calcs'!W213,"")</f>
        <v/>
      </c>
      <c r="L217" s="37" t="str">
        <f>IF('Metric Data'!$B$2,J217,H217)</f>
        <v/>
      </c>
      <c r="M217" s="112" t="str">
        <f>IF('Metric Data'!$B$2,K217,I217)</f>
        <v/>
      </c>
      <c r="O217" s="32" t="str">
        <f t="shared" si="26"/>
        <v/>
      </c>
      <c r="Q217" s="112">
        <f t="shared" si="22"/>
        <v>-2.9972000000000003</v>
      </c>
      <c r="R217" s="32" t="str">
        <f t="shared" si="27"/>
        <v/>
      </c>
      <c r="S217" s="32" t="str">
        <f t="shared" si="28"/>
        <v/>
      </c>
      <c r="U217" s="32" t="str">
        <f t="shared" si="29"/>
        <v/>
      </c>
      <c r="X217" s="30" t="str" cm="1">
        <f t="array" ref="X217">IF($AP$21="INVERT",R217,IF(X216&gt;=$S$12,"",IF(R216="","",INDEX($R$18:$R$227,$U$17-ROWS($R$18:$R216)))))</f>
        <v/>
      </c>
      <c r="Y217" s="30" t="str">
        <f t="shared" si="30"/>
        <v/>
      </c>
      <c r="Z217" s="30" t="str">
        <f>IF(Z216="","",IF($AP$21="TYP",IF(S216="","",INDEX($S$18:$S$227,$U$17-ROWS($S$18:$S216))),IF($AP$21="INVERT",S217,"")))</f>
        <v/>
      </c>
      <c r="AA217" s="75" t="str">
        <f t="shared" si="31"/>
        <v/>
      </c>
    </row>
    <row r="218" spans="1:27" x14ac:dyDescent="0.2">
      <c r="A218" s="32" t="str">
        <f t="shared" si="32"/>
        <v/>
      </c>
      <c r="C218" s="36" t="str">
        <f>IF(OR(C217&lt;30,C217=""),"",'Metric Calcs'!C214)</f>
        <v/>
      </c>
      <c r="D218" s="80" t="str">
        <f>IF(C218=0,"",'Metric Calcs'!D214)</f>
        <v/>
      </c>
      <c r="E218" s="80" t="str">
        <f>IF(OR(E216=1,E216=""),"",IF('Metric Data'!$B$2,'Metric Calcs'!E214,'Metric Calcs'!F214))</f>
        <v/>
      </c>
      <c r="F218" s="30" t="str">
        <f>IF(OR(F216=1,F216=""),"",IF('Metric Data'!$B$2,'Metric Calcs'!F214,'Metric Calcs'!H214))</f>
        <v/>
      </c>
      <c r="G218" s="30" t="str">
        <f>IF(OR(G216=1,G216=""),"",IF('Metric Data'!$B$2,'Metric Calcs'!G214,'Metric Calcs'!K214))</f>
        <v/>
      </c>
      <c r="H218" s="30" t="str">
        <f>IF(OR(H216=1,H216=""),"",IF('Metric Data'!$B$2,'Metric Calcs'!H214,'Metric Calcs'!N214))</f>
        <v/>
      </c>
      <c r="I218" s="30" t="str">
        <f>IF(OR(I216=1,I216=""),"",IF('Metric Data'!$B$2,'Metric Calcs'!K214,'Metric Calcs'!W214))</f>
        <v/>
      </c>
      <c r="J218" s="30" t="str">
        <f>IF('Metric Data'!$B$2,'Metric Calcs'!N214,"")</f>
        <v/>
      </c>
      <c r="K218" s="30" t="str">
        <f>IF('Metric Data'!$B$2,'Metric Calcs'!W214,"")</f>
        <v/>
      </c>
      <c r="L218" s="37" t="str">
        <f>IF('Metric Data'!$B$2,J218,H218)</f>
        <v/>
      </c>
      <c r="M218" s="112" t="str">
        <f>IF('Metric Data'!$B$2,K218,I218)</f>
        <v/>
      </c>
      <c r="O218" s="32" t="str">
        <f t="shared" si="26"/>
        <v/>
      </c>
      <c r="Q218" s="112">
        <f t="shared" si="22"/>
        <v>-3.0226000000000002</v>
      </c>
      <c r="R218" s="32" t="str">
        <f t="shared" si="27"/>
        <v/>
      </c>
      <c r="S218" s="32" t="str">
        <f t="shared" si="28"/>
        <v/>
      </c>
      <c r="U218" s="32" t="str">
        <f t="shared" si="29"/>
        <v/>
      </c>
      <c r="X218" s="30" t="str" cm="1">
        <f t="array" ref="X218">IF($AP$21="INVERT",R218,IF(X217&gt;=$S$12,"",IF(R217="","",INDEX($R$18:$R$227,$U$17-ROWS($R$18:$R217)))))</f>
        <v/>
      </c>
      <c r="Y218" s="30" t="str">
        <f t="shared" si="30"/>
        <v/>
      </c>
      <c r="Z218" s="30" t="str">
        <f>IF(Z217="","",IF($AP$21="TYP",IF(S217="","",INDEX($S$18:$S$227,$U$17-ROWS($S$18:$S217))),IF($AP$21="INVERT",S218,"")))</f>
        <v/>
      </c>
      <c r="AA218" s="75" t="str">
        <f t="shared" si="31"/>
        <v/>
      </c>
    </row>
    <row r="219" spans="1:27" x14ac:dyDescent="0.2">
      <c r="A219" s="32" t="str">
        <f t="shared" si="32"/>
        <v/>
      </c>
      <c r="C219" s="36" t="str">
        <f>IF(OR(C218&lt;30,C218=""),"",'Metric Calcs'!C215)</f>
        <v/>
      </c>
      <c r="D219" s="80" t="str">
        <f>IF(C219=0,"",'Metric Calcs'!D215)</f>
        <v/>
      </c>
      <c r="E219" s="80" t="str">
        <f>IF(OR(E217=1,E217=""),"",IF('Metric Data'!$B$2,'Metric Calcs'!E215,'Metric Calcs'!F215))</f>
        <v/>
      </c>
      <c r="F219" s="30" t="str">
        <f>IF(OR(F217=1,F217=""),"",IF('Metric Data'!$B$2,'Metric Calcs'!F215,'Metric Calcs'!H215))</f>
        <v/>
      </c>
      <c r="G219" s="30" t="str">
        <f>IF(OR(G217=1,G217=""),"",IF('Metric Data'!$B$2,'Metric Calcs'!G215,'Metric Calcs'!K215))</f>
        <v/>
      </c>
      <c r="H219" s="30" t="str">
        <f>IF(OR(H217=1,H217=""),"",IF('Metric Data'!$B$2,'Metric Calcs'!H215,'Metric Calcs'!N215))</f>
        <v/>
      </c>
      <c r="I219" s="30" t="str">
        <f>IF(OR(I217=1,I217=""),"",IF('Metric Data'!$B$2,'Metric Calcs'!K215,'Metric Calcs'!W215))</f>
        <v/>
      </c>
      <c r="J219" s="30" t="str">
        <f>IF('Metric Data'!$B$2,'Metric Calcs'!N215,"")</f>
        <v/>
      </c>
      <c r="K219" s="30" t="str">
        <f>IF('Metric Data'!$B$2,'Metric Calcs'!W215,"")</f>
        <v/>
      </c>
      <c r="L219" s="37" t="str">
        <f>IF('Metric Data'!$B$2,J219,H219)</f>
        <v/>
      </c>
      <c r="M219" s="112" t="str">
        <f>IF('Metric Data'!$B$2,K219,I219)</f>
        <v/>
      </c>
      <c r="O219" s="32" t="str">
        <f t="shared" si="26"/>
        <v/>
      </c>
      <c r="Q219" s="112">
        <f t="shared" si="22"/>
        <v>-3.048</v>
      </c>
      <c r="R219" s="32" t="str">
        <f t="shared" si="27"/>
        <v/>
      </c>
      <c r="S219" s="32" t="str">
        <f t="shared" si="28"/>
        <v/>
      </c>
      <c r="U219" s="32" t="str">
        <f t="shared" si="29"/>
        <v/>
      </c>
      <c r="X219" s="30" t="str" cm="1">
        <f t="array" ref="X219">IF($AP$21="INVERT",R219,IF(X218&gt;=$S$12,"",IF(R218="","",INDEX($R$18:$R$227,$U$17-ROWS($R$18:$R218)))))</f>
        <v/>
      </c>
      <c r="Y219" s="30" t="str">
        <f t="shared" si="30"/>
        <v/>
      </c>
      <c r="Z219" s="30" t="str">
        <f>IF(Z218="","",IF($AP$21="TYP",IF(S218="","",INDEX($S$18:$S$227,$U$17-ROWS($S$18:$S218))),IF($AP$21="INVERT",S219,"")))</f>
        <v/>
      </c>
      <c r="AA219" s="75" t="str">
        <f t="shared" si="31"/>
        <v/>
      </c>
    </row>
    <row r="220" spans="1:27" x14ac:dyDescent="0.2">
      <c r="A220" s="32" t="str">
        <f t="shared" si="32"/>
        <v/>
      </c>
      <c r="C220" s="36" t="str">
        <f>IF(OR(C219&lt;30,C219=""),"",'Metric Calcs'!C216)</f>
        <v/>
      </c>
      <c r="D220" s="80" t="str">
        <f>IF(C220=0,"",'Metric Calcs'!D216)</f>
        <v/>
      </c>
      <c r="E220" s="80" t="str">
        <f>IF(OR(E218=1,E218=""),"",IF('Metric Data'!$B$2,'Metric Calcs'!E216,'Metric Calcs'!F216))</f>
        <v/>
      </c>
      <c r="F220" s="30" t="str">
        <f>IF(OR(F218=1,F218=""),"",IF('Metric Data'!$B$2,'Metric Calcs'!F216,'Metric Calcs'!H216))</f>
        <v/>
      </c>
      <c r="G220" s="30" t="str">
        <f>IF(OR(G218=1,G218=""),"",IF('Metric Data'!$B$2,'Metric Calcs'!G216,'Metric Calcs'!K216))</f>
        <v/>
      </c>
      <c r="H220" s="30" t="str">
        <f>IF(OR(H218=1,H218=""),"",IF('Metric Data'!$B$2,'Metric Calcs'!H216,'Metric Calcs'!N216))</f>
        <v/>
      </c>
      <c r="I220" s="30" t="str">
        <f>IF(OR(I218=1,I218=""),"",IF('Metric Data'!$B$2,'Metric Calcs'!K216,'Metric Calcs'!W216))</f>
        <v/>
      </c>
      <c r="J220" s="30" t="str">
        <f>IF('Metric Data'!$B$2,'Metric Calcs'!N216,"")</f>
        <v/>
      </c>
      <c r="K220" s="30" t="str">
        <f>IF('Metric Data'!$B$2,'Metric Calcs'!W216,"")</f>
        <v/>
      </c>
      <c r="L220" s="37" t="str">
        <f>IF('Metric Data'!$B$2,J220,H220)</f>
        <v/>
      </c>
      <c r="M220" s="112" t="str">
        <f>IF('Metric Data'!$B$2,K220,I220)</f>
        <v/>
      </c>
      <c r="O220" s="32" t="str">
        <f t="shared" si="26"/>
        <v/>
      </c>
      <c r="Q220" s="112">
        <f t="shared" si="22"/>
        <v>-3.0733999999999999</v>
      </c>
      <c r="R220" s="32" t="str">
        <f t="shared" si="27"/>
        <v/>
      </c>
      <c r="S220" s="32" t="str">
        <f t="shared" si="28"/>
        <v/>
      </c>
      <c r="U220" s="32" t="str">
        <f t="shared" si="29"/>
        <v/>
      </c>
      <c r="X220" s="30" t="str" cm="1">
        <f t="array" ref="X220">IF($AP$21="INVERT",R220,IF(X219&gt;=$S$12,"",IF(R219="","",INDEX($R$18:$R$227,$U$17-ROWS($R$18:$R219)))))</f>
        <v/>
      </c>
      <c r="Y220" s="30" t="str">
        <f t="shared" si="30"/>
        <v/>
      </c>
      <c r="Z220" s="30" t="str">
        <f>IF(Z219="","",IF($AP$21="TYP",IF(S219="","",INDEX($S$18:$S$227,$U$17-ROWS($S$18:$S219))),IF($AP$21="INVERT",S220,"")))</f>
        <v/>
      </c>
      <c r="AA220" s="75" t="str">
        <f t="shared" si="31"/>
        <v/>
      </c>
    </row>
    <row r="221" spans="1:27" x14ac:dyDescent="0.2">
      <c r="A221" s="32" t="str">
        <f t="shared" si="32"/>
        <v/>
      </c>
      <c r="C221" s="36" t="str">
        <f>IF(OR(C220&lt;30,C220=""),"",'Metric Calcs'!C217)</f>
        <v/>
      </c>
      <c r="D221" s="80" t="str">
        <f>IF(C221=0,"",'Metric Calcs'!D217)</f>
        <v/>
      </c>
      <c r="E221" s="80" t="str">
        <f>IF(OR(E219=1,E219=""),"",IF('Metric Data'!$B$2,'Metric Calcs'!E217,'Metric Calcs'!F217))</f>
        <v/>
      </c>
      <c r="F221" s="30" t="str">
        <f>IF(OR(F219=1,F219=""),"",IF('Metric Data'!$B$2,'Metric Calcs'!F217,'Metric Calcs'!H217))</f>
        <v/>
      </c>
      <c r="G221" s="30" t="str">
        <f>IF(OR(G219=1,G219=""),"",IF('Metric Data'!$B$2,'Metric Calcs'!G217,'Metric Calcs'!K217))</f>
        <v/>
      </c>
      <c r="H221" s="30" t="str">
        <f>IF(OR(H219=1,H219=""),"",IF('Metric Data'!$B$2,'Metric Calcs'!H217,'Metric Calcs'!N217))</f>
        <v/>
      </c>
      <c r="I221" s="30" t="str">
        <f>IF(OR(I219=1,I219=""),"",IF('Metric Data'!$B$2,'Metric Calcs'!K217,'Metric Calcs'!W217))</f>
        <v/>
      </c>
      <c r="J221" s="30" t="str">
        <f>IF('Metric Data'!$B$2,'Metric Calcs'!N217,"")</f>
        <v/>
      </c>
      <c r="K221" s="30" t="str">
        <f>IF('Metric Data'!$B$2,'Metric Calcs'!W217,"")</f>
        <v/>
      </c>
      <c r="L221" s="37" t="str">
        <f>IF('Metric Data'!$B$2,J221,H221)</f>
        <v/>
      </c>
      <c r="M221" s="112" t="str">
        <f>IF('Metric Data'!$B$2,K221,I221)</f>
        <v/>
      </c>
      <c r="O221" s="32" t="str">
        <f t="shared" si="26"/>
        <v/>
      </c>
      <c r="Q221" s="112">
        <f t="shared" si="22"/>
        <v>-3.0987999999999998</v>
      </c>
      <c r="R221" s="32" t="str">
        <f t="shared" si="27"/>
        <v/>
      </c>
      <c r="S221" s="32" t="str">
        <f t="shared" si="28"/>
        <v/>
      </c>
      <c r="U221" s="32" t="str">
        <f t="shared" si="29"/>
        <v/>
      </c>
      <c r="X221" s="30" t="str" cm="1">
        <f t="array" ref="X221">IF($AP$21="INVERT",R221,IF(X220&gt;=$S$12,"",IF(R220="","",INDEX($R$18:$R$227,$U$17-ROWS($R$18:$R220)))))</f>
        <v/>
      </c>
      <c r="Y221" s="30" t="str">
        <f t="shared" si="30"/>
        <v/>
      </c>
      <c r="Z221" s="30" t="str">
        <f>IF(Z220="","",IF($AP$21="TYP",IF(S220="","",INDEX($S$18:$S$227,$U$17-ROWS($S$18:$S220))),IF($AP$21="INVERT",S221,"")))</f>
        <v/>
      </c>
      <c r="AA221" s="75" t="str">
        <f t="shared" si="31"/>
        <v/>
      </c>
    </row>
    <row r="222" spans="1:27" x14ac:dyDescent="0.2">
      <c r="A222" s="32" t="str">
        <f t="shared" si="32"/>
        <v/>
      </c>
      <c r="C222" s="36" t="str">
        <f>IF(OR(C221&lt;30,C221=""),"",'Metric Calcs'!C218)</f>
        <v/>
      </c>
      <c r="D222" s="80" t="str">
        <f>IF(C222=0,"",'Metric Calcs'!D218)</f>
        <v/>
      </c>
      <c r="E222" s="80" t="str">
        <f>IF(OR(E220=1,E220=""),"",IF('Metric Data'!$B$2,'Metric Calcs'!E218,'Metric Calcs'!F218))</f>
        <v/>
      </c>
      <c r="F222" s="30" t="str">
        <f>IF(OR(F220=1,F220=""),"",IF('Metric Data'!$B$2,'Metric Calcs'!F218,'Metric Calcs'!H218))</f>
        <v/>
      </c>
      <c r="G222" s="30" t="str">
        <f>IF(OR(G220=1,G220=""),"",IF('Metric Data'!$B$2,'Metric Calcs'!G218,'Metric Calcs'!K218))</f>
        <v/>
      </c>
      <c r="H222" s="30" t="str">
        <f>IF(OR(H220=1,H220=""),"",IF('Metric Data'!$B$2,'Metric Calcs'!H218,'Metric Calcs'!N218))</f>
        <v/>
      </c>
      <c r="I222" s="30" t="str">
        <f>IF(OR(I220=1,I220=""),"",IF('Metric Data'!$B$2,'Metric Calcs'!K218,'Metric Calcs'!W218))</f>
        <v/>
      </c>
      <c r="J222" s="30" t="str">
        <f>IF('Metric Data'!$B$2,'Metric Calcs'!N218,"")</f>
        <v/>
      </c>
      <c r="K222" s="30" t="str">
        <f>IF('Metric Data'!$B$2,'Metric Calcs'!W218,"")</f>
        <v/>
      </c>
      <c r="L222" s="37" t="str">
        <f>IF('Metric Data'!$B$2,J222,H222)</f>
        <v/>
      </c>
      <c r="M222" s="112" t="str">
        <f>IF('Metric Data'!$B$2,K222,I222)</f>
        <v/>
      </c>
      <c r="O222" s="32" t="str">
        <f t="shared" si="26"/>
        <v/>
      </c>
      <c r="Q222" s="112">
        <f t="shared" si="22"/>
        <v>-3.1241999999999996</v>
      </c>
      <c r="R222" s="32" t="str">
        <f t="shared" si="27"/>
        <v/>
      </c>
      <c r="S222" s="32" t="str">
        <f t="shared" si="28"/>
        <v/>
      </c>
      <c r="U222" s="32" t="str">
        <f t="shared" si="29"/>
        <v/>
      </c>
      <c r="X222" s="30" t="str" cm="1">
        <f t="array" ref="X222">IF($AP$21="INVERT",R222,IF(X221&gt;=$S$12,"",IF(R221="","",INDEX($R$18:$R$227,$U$17-ROWS($R$18:$R221)))))</f>
        <v/>
      </c>
      <c r="Y222" s="30" t="str">
        <f t="shared" si="30"/>
        <v/>
      </c>
      <c r="Z222" s="30" t="str">
        <f>IF(Z221="","",IF($AP$21="TYP",IF(S221="","",INDEX($S$18:$S$227,$U$17-ROWS($S$18:$S221))),IF($AP$21="INVERT",S222,"")))</f>
        <v/>
      </c>
      <c r="AA222" s="75" t="str">
        <f t="shared" si="31"/>
        <v/>
      </c>
    </row>
    <row r="223" spans="1:27" x14ac:dyDescent="0.2">
      <c r="A223" s="32" t="str">
        <f t="shared" si="32"/>
        <v/>
      </c>
      <c r="C223" s="36" t="str">
        <f>IF(OR(C222&lt;30,C222=""),"",'Metric Calcs'!C219)</f>
        <v/>
      </c>
      <c r="D223" s="80" t="str">
        <f>IF(C223=0,"",'Metric Calcs'!D219)</f>
        <v/>
      </c>
      <c r="E223" s="80" t="str">
        <f>IF(OR(E221=1,E221=""),"",IF('Metric Data'!$B$2,'Metric Calcs'!E219,'Metric Calcs'!F219))</f>
        <v/>
      </c>
      <c r="F223" s="30" t="str">
        <f>IF(OR(F221=1,F221=""),"",IF('Metric Data'!$B$2,'Metric Calcs'!F219,'Metric Calcs'!H219))</f>
        <v/>
      </c>
      <c r="G223" s="30" t="str">
        <f>IF(OR(G221=1,G221=""),"",IF('Metric Data'!$B$2,'Metric Calcs'!G219,'Metric Calcs'!K219))</f>
        <v/>
      </c>
      <c r="H223" s="30" t="str">
        <f>IF(OR(H221=1,H221=""),"",IF('Metric Data'!$B$2,'Metric Calcs'!H219,'Metric Calcs'!N219))</f>
        <v/>
      </c>
      <c r="I223" s="30" t="str">
        <f>IF(OR(I221=1,I221=""),"",IF('Metric Data'!$B$2,'Metric Calcs'!K219,'Metric Calcs'!W219))</f>
        <v/>
      </c>
      <c r="J223" s="30" t="str">
        <f>IF('Metric Data'!$B$2,'Metric Calcs'!N219,"")</f>
        <v/>
      </c>
      <c r="K223" s="30" t="str">
        <f>IF('Metric Data'!$B$2,'Metric Calcs'!W219,"")</f>
        <v/>
      </c>
      <c r="L223" s="37" t="str">
        <f>IF('Metric Data'!$B$2,J223,H223)</f>
        <v/>
      </c>
      <c r="M223" s="112" t="str">
        <f>IF('Metric Data'!$B$2,K223,I223)</f>
        <v/>
      </c>
      <c r="O223" s="32" t="str">
        <f t="shared" si="26"/>
        <v/>
      </c>
      <c r="Q223" s="112">
        <f t="shared" si="22"/>
        <v>-3.1495999999999995</v>
      </c>
      <c r="R223" s="32" t="str">
        <f t="shared" si="27"/>
        <v/>
      </c>
      <c r="S223" s="32" t="str">
        <f t="shared" si="28"/>
        <v/>
      </c>
      <c r="U223" s="32" t="str">
        <f t="shared" si="29"/>
        <v/>
      </c>
      <c r="X223" s="30" t="str" cm="1">
        <f t="array" ref="X223">IF($AP$21="INVERT",R223,IF(X222&gt;=$S$12,"",IF(R222="","",INDEX($R$18:$R$227,$U$17-ROWS($R$18:$R222)))))</f>
        <v/>
      </c>
      <c r="Y223" s="30" t="str">
        <f t="shared" si="30"/>
        <v/>
      </c>
      <c r="Z223" s="30" t="str">
        <f>IF(Z222="","",IF($AP$21="TYP",IF(S222="","",INDEX($S$18:$S$227,$U$17-ROWS($S$18:$S222))),IF($AP$21="INVERT",S223,"")))</f>
        <v/>
      </c>
      <c r="AA223" s="75" t="str">
        <f t="shared" si="31"/>
        <v/>
      </c>
    </row>
    <row r="224" spans="1:27" x14ac:dyDescent="0.2">
      <c r="A224" s="32" t="str">
        <f t="shared" si="32"/>
        <v/>
      </c>
      <c r="C224" s="36" t="str">
        <f>IF(OR(C223&lt;30,C223=""),"",'Metric Calcs'!C220)</f>
        <v/>
      </c>
      <c r="D224" s="80" t="str">
        <f>IF(C224=0,"",'Metric Calcs'!D220)</f>
        <v/>
      </c>
      <c r="E224" s="80" t="str">
        <f>IF(OR(E222=1,E222=""),"",IF('Metric Data'!$B$2,'Metric Calcs'!E220,'Metric Calcs'!F220))</f>
        <v/>
      </c>
      <c r="F224" s="30" t="str">
        <f>IF(OR(F222=1,F222=""),"",IF('Metric Data'!$B$2,'Metric Calcs'!F220,'Metric Calcs'!H220))</f>
        <v/>
      </c>
      <c r="G224" s="30" t="str">
        <f>IF(OR(G222=1,G222=""),"",IF('Metric Data'!$B$2,'Metric Calcs'!G220,'Metric Calcs'!K220))</f>
        <v/>
      </c>
      <c r="H224" s="30" t="str">
        <f>IF(OR(H222=1,H222=""),"",IF('Metric Data'!$B$2,'Metric Calcs'!H220,'Metric Calcs'!N220))</f>
        <v/>
      </c>
      <c r="I224" s="30" t="str">
        <f>IF(OR(I222=1,I222=""),"",IF('Metric Data'!$B$2,'Metric Calcs'!K220,'Metric Calcs'!W220))</f>
        <v/>
      </c>
      <c r="J224" s="30" t="str">
        <f>IF('Metric Data'!$B$2,'Metric Calcs'!N220,"")</f>
        <v/>
      </c>
      <c r="K224" s="30" t="str">
        <f>IF('Metric Data'!$B$2,'Metric Calcs'!W220,"")</f>
        <v/>
      </c>
      <c r="L224" s="37" t="str">
        <f>IF('Metric Data'!$B$2,J224,H224)</f>
        <v/>
      </c>
      <c r="M224" s="112" t="str">
        <f>IF('Metric Data'!$B$2,K224,I224)</f>
        <v/>
      </c>
      <c r="O224" s="32" t="str">
        <f t="shared" si="26"/>
        <v/>
      </c>
      <c r="Q224" s="112">
        <f t="shared" si="22"/>
        <v>-3.1749999999999994</v>
      </c>
      <c r="R224" s="32" t="str">
        <f t="shared" si="27"/>
        <v/>
      </c>
      <c r="S224" s="32" t="str">
        <f t="shared" si="28"/>
        <v/>
      </c>
      <c r="U224" s="32" t="str">
        <f t="shared" si="29"/>
        <v/>
      </c>
      <c r="X224" s="30" t="str" cm="1">
        <f t="array" ref="X224">IF($AP$21="INVERT",R224,IF(X223&gt;=$S$12,"",IF(R223="","",INDEX($R$18:$R$227,$U$17-ROWS($R$18:$R223)))))</f>
        <v/>
      </c>
      <c r="Y224" s="30" t="str">
        <f t="shared" si="30"/>
        <v/>
      </c>
      <c r="Z224" s="30" t="str">
        <f>IF(Z223="","",IF($AP$21="TYP",IF(S223="","",INDEX($S$18:$S$227,$U$17-ROWS($S$18:$S223))),IF($AP$21="INVERT",S224,"")))</f>
        <v/>
      </c>
      <c r="AA224" s="75" t="str">
        <f t="shared" si="31"/>
        <v/>
      </c>
    </row>
    <row r="225" spans="1:27" x14ac:dyDescent="0.2">
      <c r="A225" s="32" t="str">
        <f t="shared" si="32"/>
        <v/>
      </c>
      <c r="C225" s="36" t="str">
        <f>IF(OR(C224&lt;30,C224=""),"",'Metric Calcs'!C221)</f>
        <v/>
      </c>
      <c r="D225" s="80" t="str">
        <f>IF(C225=0,"",'Metric Calcs'!D221)</f>
        <v/>
      </c>
      <c r="E225" s="80" t="str">
        <f>IF(OR(E223=1,E223=""),"",IF('Metric Data'!$B$2,'Metric Calcs'!E221,'Metric Calcs'!F221))</f>
        <v/>
      </c>
      <c r="F225" s="30" t="str">
        <f>IF(OR(F223=1,F223=""),"",IF('Metric Data'!$B$2,'Metric Calcs'!F221,'Metric Calcs'!H221))</f>
        <v/>
      </c>
      <c r="G225" s="30" t="str">
        <f>IF(OR(G223=1,G223=""),"",IF('Metric Data'!$B$2,'Metric Calcs'!G221,'Metric Calcs'!K221))</f>
        <v/>
      </c>
      <c r="H225" s="30" t="str">
        <f>IF(OR(H223=1,H223=""),"",IF('Metric Data'!$B$2,'Metric Calcs'!H221,'Metric Calcs'!N221))</f>
        <v/>
      </c>
      <c r="I225" s="30" t="str">
        <f>IF(OR(I223=1,I223=""),"",IF('Metric Data'!$B$2,'Metric Calcs'!K221,'Metric Calcs'!W221))</f>
        <v/>
      </c>
      <c r="J225" s="30" t="str">
        <f>IF('Metric Data'!$B$2,'Metric Calcs'!N221,"")</f>
        <v/>
      </c>
      <c r="K225" s="30" t="str">
        <f>IF('Metric Data'!$B$2,'Metric Calcs'!W221,"")</f>
        <v/>
      </c>
      <c r="L225" s="37" t="str">
        <f>IF('Metric Data'!$B$2,J225,H225)</f>
        <v/>
      </c>
      <c r="M225" s="112" t="str">
        <f>IF('Metric Data'!$B$2,K225,I225)</f>
        <v/>
      </c>
      <c r="O225" s="32" t="str">
        <f t="shared" si="26"/>
        <v/>
      </c>
      <c r="Q225" s="112">
        <f t="shared" si="22"/>
        <v>-3.2003999999999992</v>
      </c>
      <c r="R225" s="32" t="str">
        <f t="shared" si="27"/>
        <v/>
      </c>
      <c r="S225" s="32" t="str">
        <f t="shared" si="28"/>
        <v/>
      </c>
      <c r="U225" s="32" t="str">
        <f t="shared" si="29"/>
        <v/>
      </c>
      <c r="X225" s="30" t="str" cm="1">
        <f t="array" ref="X225">IF($AP$21="INVERT",R225,IF(X224&gt;=$S$12,"",IF(R224="","",INDEX($R$18:$R$227,$U$17-ROWS($R$18:$R224)))))</f>
        <v/>
      </c>
      <c r="Y225" s="30" t="str">
        <f t="shared" si="30"/>
        <v/>
      </c>
      <c r="Z225" s="30" t="str">
        <f>IF(Z224="","",IF($AP$21="TYP",IF(S224="","",INDEX($S$18:$S$227,$U$17-ROWS($S$18:$S224))),IF($AP$21="INVERT",S225,"")))</f>
        <v/>
      </c>
      <c r="AA225" s="75" t="str">
        <f t="shared" si="31"/>
        <v/>
      </c>
    </row>
    <row r="226" spans="1:27" x14ac:dyDescent="0.2">
      <c r="A226" s="32" t="str">
        <f t="shared" si="32"/>
        <v/>
      </c>
      <c r="C226" s="36" t="str">
        <f>IF(OR(C225&lt;30,C225=""),"",'Metric Calcs'!C222)</f>
        <v/>
      </c>
      <c r="D226" s="80" t="str">
        <f>IF(C226=0,"",'Metric Calcs'!D222)</f>
        <v/>
      </c>
      <c r="E226" s="80" t="str">
        <f>IF(OR(E224=1,E224=""),"",IF('Metric Data'!$B$2,'Metric Calcs'!E222,'Metric Calcs'!F222))</f>
        <v/>
      </c>
      <c r="F226" s="30" t="str">
        <f>IF(OR(F224=1,F224=""),"",IF('Metric Data'!$B$2,'Metric Calcs'!F222,'Metric Calcs'!H222))</f>
        <v/>
      </c>
      <c r="G226" s="30" t="str">
        <f>IF(OR(G224=1,G224=""),"",IF('Metric Data'!$B$2,'Metric Calcs'!G222,'Metric Calcs'!K222))</f>
        <v/>
      </c>
      <c r="H226" s="30" t="str">
        <f>IF(OR(H224=1,H224=""),"",IF('Metric Data'!$B$2,'Metric Calcs'!H222,'Metric Calcs'!N222))</f>
        <v/>
      </c>
      <c r="I226" s="30" t="str">
        <f>IF(OR(I224=1,I224=""),"",IF('Metric Data'!$B$2,'Metric Calcs'!K222,'Metric Calcs'!W222))</f>
        <v/>
      </c>
      <c r="J226" s="30" t="str">
        <f>IF('Metric Data'!$B$2,'Metric Calcs'!N222,"")</f>
        <v/>
      </c>
      <c r="K226" s="30" t="str">
        <f>IF('Metric Data'!$B$2,'Metric Calcs'!W222,"")</f>
        <v/>
      </c>
      <c r="L226" s="37" t="str">
        <f>IF('Metric Data'!$B$2,J226,H226)</f>
        <v/>
      </c>
      <c r="M226" s="112" t="str">
        <f>IF('Metric Data'!$B$2,K226,I226)</f>
        <v/>
      </c>
      <c r="O226" s="32" t="str">
        <f t="shared" si="26"/>
        <v/>
      </c>
      <c r="Q226" s="112">
        <f t="shared" si="22"/>
        <v>-3.2257999999999991</v>
      </c>
      <c r="R226" s="32" t="str">
        <f t="shared" si="27"/>
        <v/>
      </c>
      <c r="S226" s="32" t="str">
        <f t="shared" si="28"/>
        <v/>
      </c>
      <c r="U226" s="32" t="str">
        <f t="shared" si="29"/>
        <v/>
      </c>
      <c r="X226" s="30" t="str" cm="1">
        <f t="array" ref="X226">IF($AP$21="INVERT",R226,IF(X225&gt;=$S$12,"",IF(R225="","",INDEX($R$18:$R$227,$U$17-ROWS($R$18:$R225)))))</f>
        <v/>
      </c>
      <c r="Y226" s="30" t="str">
        <f t="shared" si="30"/>
        <v/>
      </c>
      <c r="Z226" s="30" t="str">
        <f>IF(Z225="","",IF($AP$21="TYP",IF(S225="","",INDEX($S$18:$S$227,$U$17-ROWS($S$18:$S225))),IF($AP$21="INVERT",S226,"")))</f>
        <v/>
      </c>
      <c r="AA226" s="75" t="str">
        <f t="shared" si="31"/>
        <v/>
      </c>
    </row>
    <row r="227" spans="1:27" x14ac:dyDescent="0.2">
      <c r="A227" s="32" t="str">
        <f t="shared" si="32"/>
        <v/>
      </c>
      <c r="C227" s="36" t="str">
        <f>IF(OR(C226&lt;30,C226=""),"",'Metric Calcs'!C223)</f>
        <v/>
      </c>
      <c r="D227" s="80" t="str">
        <f>IF(C227=0,"",'Metric Calcs'!D223)</f>
        <v/>
      </c>
      <c r="E227" s="80" t="str">
        <f>IF(OR(E225=1,E225=""),"",IF('Metric Data'!$B$2,'Metric Calcs'!E223,'Metric Calcs'!F223))</f>
        <v/>
      </c>
      <c r="F227" s="30" t="str">
        <f>IF(OR(F225=1,F225=""),"",IF('Metric Data'!$B$2,'Metric Calcs'!F223,'Metric Calcs'!H223))</f>
        <v/>
      </c>
      <c r="G227" s="30" t="str">
        <f>IF(OR(G225=1,G225=""),"",IF('Metric Data'!$B$2,'Metric Calcs'!G223,'Metric Calcs'!K223))</f>
        <v/>
      </c>
      <c r="H227" s="30" t="str">
        <f>IF(OR(H225=1,H225=""),"",IF('Metric Data'!$B$2,'Metric Calcs'!H223,'Metric Calcs'!N223))</f>
        <v/>
      </c>
      <c r="I227" s="30" t="str">
        <f>IF(OR(I225=1,I225=""),"",IF('Metric Data'!$B$2,'Metric Calcs'!K223,'Metric Calcs'!W223))</f>
        <v/>
      </c>
      <c r="J227" s="30" t="str">
        <f>IF('Metric Data'!$B$2,'Metric Calcs'!N223,"")</f>
        <v/>
      </c>
      <c r="K227" s="30" t="str">
        <f>IF('Metric Data'!$B$2,'Metric Calcs'!W223,"")</f>
        <v/>
      </c>
      <c r="L227" s="37" t="str">
        <f>IF('Metric Data'!$B$2,J227,H227)</f>
        <v/>
      </c>
      <c r="M227" s="112" t="str">
        <f>IF('Metric Data'!$B$2,K227,I227)</f>
        <v/>
      </c>
      <c r="O227" s="32" t="str">
        <f t="shared" si="26"/>
        <v/>
      </c>
      <c r="Q227" s="112">
        <f t="shared" si="22"/>
        <v>-3.251199999999999</v>
      </c>
      <c r="R227" s="32" t="str">
        <f t="shared" si="27"/>
        <v/>
      </c>
      <c r="S227" s="32" t="str">
        <f t="shared" si="28"/>
        <v/>
      </c>
      <c r="U227" s="32" t="str">
        <f t="shared" si="29"/>
        <v/>
      </c>
      <c r="X227" s="30" t="str" cm="1">
        <f t="array" ref="X227">IF($AP$21="INVERT",R227,IF(X226&gt;=$S$12,"",IF(R226="","",INDEX($R$18:$R$227,$U$17-ROWS($R$18:$R226)))))</f>
        <v/>
      </c>
      <c r="Y227" s="30" t="str">
        <f t="shared" si="30"/>
        <v/>
      </c>
      <c r="Z227" s="30" t="str">
        <f>IF(Z226="","",IF($AP$21="TYP",IF(S226="","",INDEX($S$18:$S$227,$U$17-ROWS($S$18:$S226))),IF($AP$21="INVERT",S227,"")))</f>
        <v/>
      </c>
      <c r="AA227" s="75" t="str">
        <f t="shared" si="31"/>
        <v/>
      </c>
    </row>
    <row r="228" spans="1:27" x14ac:dyDescent="0.2">
      <c r="C228" s="36"/>
    </row>
    <row r="229" spans="1:27" x14ac:dyDescent="0.2">
      <c r="C229" s="36"/>
    </row>
    <row r="230" spans="1:27" x14ac:dyDescent="0.2">
      <c r="C230" s="36"/>
    </row>
    <row r="231" spans="1:27" x14ac:dyDescent="0.2">
      <c r="C231" s="36"/>
    </row>
    <row r="232" spans="1:27" x14ac:dyDescent="0.2">
      <c r="C232" s="36"/>
    </row>
    <row r="233" spans="1:27" x14ac:dyDescent="0.2">
      <c r="C233" s="36"/>
    </row>
    <row r="234" spans="1:27" x14ac:dyDescent="0.2">
      <c r="C234" s="36"/>
    </row>
    <row r="235" spans="1:27" x14ac:dyDescent="0.2">
      <c r="C235" s="36"/>
    </row>
    <row r="236" spans="1:27" x14ac:dyDescent="0.2">
      <c r="C236" s="36"/>
    </row>
    <row r="237" spans="1:27" x14ac:dyDescent="0.2">
      <c r="C237" s="36"/>
    </row>
    <row r="238" spans="1:27" x14ac:dyDescent="0.2">
      <c r="C238" s="36"/>
    </row>
    <row r="239" spans="1:27" x14ac:dyDescent="0.2">
      <c r="C239" s="36"/>
    </row>
    <row r="240" spans="1:27" x14ac:dyDescent="0.2">
      <c r="C240" s="36"/>
    </row>
    <row r="241" spans="3:3" x14ac:dyDescent="0.2">
      <c r="C241" s="36"/>
    </row>
    <row r="242" spans="3:3" x14ac:dyDescent="0.2">
      <c r="C242" s="36"/>
    </row>
    <row r="243" spans="3:3" x14ac:dyDescent="0.2">
      <c r="C243" s="36"/>
    </row>
    <row r="244" spans="3:3" x14ac:dyDescent="0.2">
      <c r="C244" s="36"/>
    </row>
    <row r="245" spans="3:3" x14ac:dyDescent="0.2">
      <c r="C245" s="36"/>
    </row>
    <row r="246" spans="3:3" x14ac:dyDescent="0.2">
      <c r="C246" s="36"/>
    </row>
    <row r="247" spans="3:3" x14ac:dyDescent="0.2">
      <c r="C247" s="36"/>
    </row>
    <row r="248" spans="3:3" x14ac:dyDescent="0.2">
      <c r="C248" s="36"/>
    </row>
    <row r="249" spans="3:3" x14ac:dyDescent="0.2">
      <c r="C249" s="36"/>
    </row>
    <row r="250" spans="3:3" x14ac:dyDescent="0.2">
      <c r="C250" s="36"/>
    </row>
    <row r="251" spans="3:3" x14ac:dyDescent="0.2">
      <c r="C251" s="36"/>
    </row>
    <row r="252" spans="3:3" x14ac:dyDescent="0.2">
      <c r="C252" s="36"/>
    </row>
    <row r="253" spans="3:3" x14ac:dyDescent="0.2">
      <c r="C253" s="36"/>
    </row>
    <row r="254" spans="3:3" x14ac:dyDescent="0.2">
      <c r="C254" s="36"/>
    </row>
    <row r="255" spans="3:3" x14ac:dyDescent="0.2">
      <c r="C255" s="36"/>
    </row>
    <row r="256" spans="3:3" x14ac:dyDescent="0.2">
      <c r="C256" s="36"/>
    </row>
    <row r="257" spans="3:3" x14ac:dyDescent="0.2">
      <c r="C257" s="36"/>
    </row>
    <row r="258" spans="3:3" x14ac:dyDescent="0.2">
      <c r="C258" s="36"/>
    </row>
    <row r="259" spans="3:3" x14ac:dyDescent="0.2">
      <c r="C259" s="36"/>
    </row>
    <row r="260" spans="3:3" x14ac:dyDescent="0.2">
      <c r="C260" s="36"/>
    </row>
    <row r="261" spans="3:3" x14ac:dyDescent="0.2">
      <c r="C261" s="36"/>
    </row>
    <row r="262" spans="3:3" x14ac:dyDescent="0.2">
      <c r="C262" s="36"/>
    </row>
    <row r="263" spans="3:3" x14ac:dyDescent="0.2">
      <c r="C263" s="36"/>
    </row>
    <row r="264" spans="3:3" x14ac:dyDescent="0.2">
      <c r="C264" s="36"/>
    </row>
    <row r="265" spans="3:3" x14ac:dyDescent="0.2">
      <c r="C265" s="36"/>
    </row>
    <row r="266" spans="3:3" x14ac:dyDescent="0.2">
      <c r="C266" s="36"/>
    </row>
    <row r="267" spans="3:3" x14ac:dyDescent="0.2">
      <c r="C267" s="36"/>
    </row>
    <row r="268" spans="3:3" x14ac:dyDescent="0.2">
      <c r="C268" s="36"/>
    </row>
    <row r="269" spans="3:3" x14ac:dyDescent="0.2">
      <c r="C269" s="36"/>
    </row>
    <row r="270" spans="3:3" x14ac:dyDescent="0.2">
      <c r="C270" s="36"/>
    </row>
    <row r="271" spans="3:3" x14ac:dyDescent="0.2">
      <c r="C271" s="36"/>
    </row>
    <row r="272" spans="3:3" x14ac:dyDescent="0.2">
      <c r="C272" s="35"/>
    </row>
    <row r="273" spans="3:3" x14ac:dyDescent="0.2">
      <c r="C273" s="35"/>
    </row>
    <row r="274" spans="3:3" x14ac:dyDescent="0.2">
      <c r="C274" s="35"/>
    </row>
    <row r="275" spans="3:3" x14ac:dyDescent="0.2">
      <c r="C275" s="35"/>
    </row>
    <row r="276" spans="3:3" x14ac:dyDescent="0.2">
      <c r="C276" s="35"/>
    </row>
    <row r="277" spans="3:3" x14ac:dyDescent="0.2">
      <c r="C277" s="35"/>
    </row>
    <row r="278" spans="3:3" x14ac:dyDescent="0.2">
      <c r="C278" s="35"/>
    </row>
    <row r="279" spans="3:3" x14ac:dyDescent="0.2">
      <c r="C279" s="35"/>
    </row>
    <row r="280" spans="3:3" x14ac:dyDescent="0.2">
      <c r="C280" s="35"/>
    </row>
    <row r="281" spans="3:3" x14ac:dyDescent="0.2">
      <c r="C281" s="35"/>
    </row>
    <row r="282" spans="3:3" x14ac:dyDescent="0.2">
      <c r="C282" s="35"/>
    </row>
    <row r="283" spans="3:3" x14ac:dyDescent="0.2">
      <c r="C283" s="35"/>
    </row>
    <row r="284" spans="3:3" x14ac:dyDescent="0.2">
      <c r="C284" s="35"/>
    </row>
    <row r="285" spans="3:3" x14ac:dyDescent="0.2">
      <c r="C285" s="35"/>
    </row>
    <row r="286" spans="3:3" x14ac:dyDescent="0.2">
      <c r="C286" s="35"/>
    </row>
    <row r="287" spans="3:3" x14ac:dyDescent="0.2">
      <c r="C287" s="35"/>
    </row>
    <row r="288" spans="3:3" x14ac:dyDescent="0.2">
      <c r="C288" s="35"/>
    </row>
    <row r="289" spans="3:3" x14ac:dyDescent="0.2">
      <c r="C289" s="35"/>
    </row>
    <row r="290" spans="3:3" x14ac:dyDescent="0.2">
      <c r="C290" s="35"/>
    </row>
    <row r="291" spans="3:3" x14ac:dyDescent="0.2">
      <c r="C291" s="35"/>
    </row>
    <row r="292" spans="3:3" x14ac:dyDescent="0.2">
      <c r="C292" s="35"/>
    </row>
    <row r="293" spans="3:3" x14ac:dyDescent="0.2">
      <c r="C293" s="35"/>
    </row>
    <row r="294" spans="3:3" x14ac:dyDescent="0.2">
      <c r="C294" s="35"/>
    </row>
    <row r="295" spans="3:3" x14ac:dyDescent="0.2">
      <c r="C295" s="35"/>
    </row>
    <row r="296" spans="3:3" x14ac:dyDescent="0.2">
      <c r="C296" s="35"/>
    </row>
    <row r="297" spans="3:3" x14ac:dyDescent="0.2">
      <c r="C297" s="35"/>
    </row>
    <row r="298" spans="3:3" x14ac:dyDescent="0.2">
      <c r="C298" s="35"/>
    </row>
    <row r="299" spans="3:3" x14ac:dyDescent="0.2">
      <c r="C299" s="35"/>
    </row>
    <row r="300" spans="3:3" x14ac:dyDescent="0.2">
      <c r="C300" s="35"/>
    </row>
    <row r="301" spans="3:3" x14ac:dyDescent="0.2">
      <c r="C301" s="35"/>
    </row>
    <row r="302" spans="3:3" x14ac:dyDescent="0.2">
      <c r="C302" s="35"/>
    </row>
    <row r="303" spans="3:3" x14ac:dyDescent="0.2">
      <c r="C303" s="35"/>
    </row>
    <row r="304" spans="3:3" x14ac:dyDescent="0.2">
      <c r="C304" s="35"/>
    </row>
    <row r="305" spans="3:3" x14ac:dyDescent="0.2">
      <c r="C305" s="35"/>
    </row>
    <row r="306" spans="3:3" x14ac:dyDescent="0.2">
      <c r="C306" s="35"/>
    </row>
    <row r="307" spans="3:3" x14ac:dyDescent="0.2">
      <c r="C307" s="35"/>
    </row>
    <row r="308" spans="3:3" x14ac:dyDescent="0.2">
      <c r="C308" s="35"/>
    </row>
    <row r="309" spans="3:3" x14ac:dyDescent="0.2">
      <c r="C309" s="35"/>
    </row>
    <row r="310" spans="3:3" x14ac:dyDescent="0.2">
      <c r="C310" s="35"/>
    </row>
    <row r="311" spans="3:3" x14ac:dyDescent="0.2">
      <c r="C311" s="35"/>
    </row>
    <row r="312" spans="3:3" x14ac:dyDescent="0.2">
      <c r="C312" s="35"/>
    </row>
    <row r="313" spans="3:3" x14ac:dyDescent="0.2">
      <c r="C313" s="35"/>
    </row>
    <row r="314" spans="3:3" x14ac:dyDescent="0.2">
      <c r="C314" s="35"/>
    </row>
    <row r="315" spans="3:3" x14ac:dyDescent="0.2">
      <c r="C315" s="35"/>
    </row>
    <row r="316" spans="3:3" x14ac:dyDescent="0.2">
      <c r="C316" s="35"/>
    </row>
    <row r="317" spans="3:3" x14ac:dyDescent="0.2">
      <c r="C317" s="35"/>
    </row>
    <row r="318" spans="3:3" x14ac:dyDescent="0.2">
      <c r="C318" s="35"/>
    </row>
    <row r="319" spans="3:3" x14ac:dyDescent="0.2">
      <c r="C319" s="35"/>
    </row>
    <row r="320" spans="3:3" x14ac:dyDescent="0.2">
      <c r="C320" s="35"/>
    </row>
    <row r="321" spans="3:3" x14ac:dyDescent="0.2">
      <c r="C321" s="35"/>
    </row>
    <row r="322" spans="3:3" x14ac:dyDescent="0.2">
      <c r="C322" s="35"/>
    </row>
    <row r="323" spans="3:3" x14ac:dyDescent="0.2">
      <c r="C323" s="35"/>
    </row>
    <row r="324" spans="3:3" x14ac:dyDescent="0.2">
      <c r="C324" s="35"/>
    </row>
    <row r="325" spans="3:3" x14ac:dyDescent="0.2">
      <c r="C325" s="35"/>
    </row>
    <row r="326" spans="3:3" x14ac:dyDescent="0.2">
      <c r="C326" s="35"/>
    </row>
    <row r="327" spans="3:3" x14ac:dyDescent="0.2">
      <c r="C327" s="35"/>
    </row>
    <row r="328" spans="3:3" x14ac:dyDescent="0.2">
      <c r="C328" s="35"/>
    </row>
    <row r="329" spans="3:3" x14ac:dyDescent="0.2">
      <c r="C329" s="35"/>
    </row>
    <row r="330" spans="3:3" x14ac:dyDescent="0.2">
      <c r="C330" s="35"/>
    </row>
    <row r="331" spans="3:3" x14ac:dyDescent="0.2">
      <c r="C331" s="35"/>
    </row>
    <row r="332" spans="3:3" x14ac:dyDescent="0.2">
      <c r="C332" s="35"/>
    </row>
    <row r="333" spans="3:3" x14ac:dyDescent="0.2">
      <c r="C333" s="35"/>
    </row>
    <row r="334" spans="3:3" x14ac:dyDescent="0.2">
      <c r="C334" s="35"/>
    </row>
    <row r="335" spans="3:3" x14ac:dyDescent="0.2">
      <c r="C335" s="35"/>
    </row>
    <row r="336" spans="3:3" x14ac:dyDescent="0.2">
      <c r="C336" s="35"/>
    </row>
    <row r="337" spans="3:3" x14ac:dyDescent="0.2">
      <c r="C337" s="35"/>
    </row>
    <row r="338" spans="3:3" x14ac:dyDescent="0.2">
      <c r="C338" s="35"/>
    </row>
    <row r="339" spans="3:3" x14ac:dyDescent="0.2">
      <c r="C339" s="35"/>
    </row>
    <row r="340" spans="3:3" x14ac:dyDescent="0.2">
      <c r="C340" s="35"/>
    </row>
    <row r="341" spans="3:3" x14ac:dyDescent="0.2">
      <c r="C341" s="35"/>
    </row>
    <row r="342" spans="3:3" x14ac:dyDescent="0.2">
      <c r="C342" s="35"/>
    </row>
    <row r="343" spans="3:3" x14ac:dyDescent="0.2">
      <c r="C343" s="35"/>
    </row>
    <row r="344" spans="3:3" x14ac:dyDescent="0.2">
      <c r="C344" s="35"/>
    </row>
    <row r="345" spans="3:3" x14ac:dyDescent="0.2">
      <c r="C345" s="35"/>
    </row>
    <row r="346" spans="3:3" x14ac:dyDescent="0.2">
      <c r="C346" s="35"/>
    </row>
    <row r="347" spans="3:3" x14ac:dyDescent="0.2">
      <c r="C347" s="35"/>
    </row>
    <row r="348" spans="3:3" x14ac:dyDescent="0.2">
      <c r="C348" s="35"/>
    </row>
    <row r="349" spans="3:3" x14ac:dyDescent="0.2">
      <c r="C349" s="35"/>
    </row>
    <row r="350" spans="3:3" x14ac:dyDescent="0.2">
      <c r="C350" s="35"/>
    </row>
    <row r="351" spans="3:3" x14ac:dyDescent="0.2">
      <c r="C351" s="35"/>
    </row>
    <row r="352" spans="3:3" x14ac:dyDescent="0.2">
      <c r="C352" s="35"/>
    </row>
    <row r="353" spans="3:3" x14ac:dyDescent="0.2">
      <c r="C353" s="35"/>
    </row>
    <row r="354" spans="3:3" x14ac:dyDescent="0.2">
      <c r="C354" s="35"/>
    </row>
    <row r="355" spans="3:3" x14ac:dyDescent="0.2">
      <c r="C355" s="35"/>
    </row>
    <row r="356" spans="3:3" x14ac:dyDescent="0.2">
      <c r="C356" s="35"/>
    </row>
    <row r="357" spans="3:3" x14ac:dyDescent="0.2">
      <c r="C357" s="35"/>
    </row>
    <row r="358" spans="3:3" x14ac:dyDescent="0.2">
      <c r="C358" s="35"/>
    </row>
  </sheetData>
  <sheetProtection algorithmName="SHA-512" hashValue="tPw/NVkP8ERW4y4tIdBdqa7AlnPA89EtIEuUw7BTVgNSMpuQIq9BgqKTRZ9ceQ7n/4h1L8VLVe5pvs1jbT0OnQ==" saltValue="w4xuZqwSlzxJq27KyQcg5w==" spinCount="100000" sheet="1" formatCells="0"/>
  <mergeCells count="9">
    <mergeCell ref="AX10:AZ14"/>
    <mergeCell ref="X15:AA15"/>
    <mergeCell ref="C15:I15"/>
    <mergeCell ref="D2:F2"/>
    <mergeCell ref="C14:F14"/>
    <mergeCell ref="G14:J14"/>
    <mergeCell ref="I13:J13"/>
    <mergeCell ref="H7:K9"/>
    <mergeCell ref="AB15:AF23"/>
  </mergeCells>
  <phoneticPr fontId="3" type="noConversion"/>
  <conditionalFormatting sqref="C9">
    <cfRule type="expression" dxfId="47" priority="172">
      <formula>AND(OR(AO17="MC-7200",AO17="DC-780",AO17="MC-3500",AO17="MC-4500"),F11&lt;229)</formula>
    </cfRule>
    <cfRule type="expression" dxfId="46" priority="171">
      <formula>AND(AO17="SC-160LP",F11&lt;100)</formula>
    </cfRule>
    <cfRule type="expression" dxfId="45" priority="170">
      <formula>AND(OR(AO17="SC-310",AO17="SC-740"),F11&lt;152)</formula>
    </cfRule>
  </conditionalFormatting>
  <conditionalFormatting sqref="C12:C13">
    <cfRule type="cellIs" dxfId="44" priority="75" stopIfTrue="1" operator="equal">
      <formula>$AN$11</formula>
    </cfRule>
  </conditionalFormatting>
  <conditionalFormatting sqref="F10">
    <cfRule type="expression" dxfId="42" priority="153" stopIfTrue="1">
      <formula>AND(OR(AO17="SC-740",AO17="DC-780",AO17="SC-160",AO17="SC-800"),F10&lt;152)</formula>
    </cfRule>
    <cfRule type="expression" dxfId="41" priority="152" stopIfTrue="1">
      <formula>AND(AO17="SC-310",F10&lt;152)</formula>
    </cfRule>
    <cfRule type="expression" dxfId="40" priority="151" stopIfTrue="1">
      <formula>AND(OR(AO17="MC-3500",AO17="MC-4500",AO17="MC-7200"),F10&lt;305)</formula>
    </cfRule>
  </conditionalFormatting>
  <conditionalFormatting sqref="F11">
    <cfRule type="expression" dxfId="39" priority="26">
      <formula>AND(AO17="SC-160LP",F11&lt;100)</formula>
    </cfRule>
    <cfRule type="expression" dxfId="38" priority="27">
      <formula>AND(OR(AO17="MC-3500",AO17="MC-4500",AO17="MC-7200",AO17="DC-780"),F11&lt;229)</formula>
    </cfRule>
    <cfRule type="expression" dxfId="37" priority="28">
      <formula>AND(OR(AO17="SC-740",AO17="SC-310",AO17="SC-800"),F11&lt;152)</formula>
    </cfRule>
  </conditionalFormatting>
  <conditionalFormatting sqref="F13">
    <cfRule type="expression" dxfId="36" priority="67" stopIfTrue="1">
      <formula>AR17=TRUE</formula>
    </cfRule>
  </conditionalFormatting>
  <conditionalFormatting sqref="G13">
    <cfRule type="expression" dxfId="35" priority="79" stopIfTrue="1">
      <formula>$F$13&lt;$I$13</formula>
    </cfRule>
  </conditionalFormatting>
  <conditionalFormatting sqref="H11:H12">
    <cfRule type="expression" dxfId="34" priority="96" stopIfTrue="1">
      <formula>$F$13&lt;$I$13</formula>
    </cfRule>
  </conditionalFormatting>
  <conditionalFormatting sqref="I13">
    <cfRule type="expression" dxfId="32" priority="81" stopIfTrue="1">
      <formula>$F$13=$I$13</formula>
    </cfRule>
    <cfRule type="expression" dxfId="31" priority="80" stopIfTrue="1">
      <formula>$F$13&gt;$I$13</formula>
    </cfRule>
  </conditionalFormatting>
  <conditionalFormatting sqref="I18:I227">
    <cfRule type="cellIs" dxfId="30" priority="212" operator="between">
      <formula>$AI$24+$AQ$24</formula>
      <formula>$AI$24-$AQ$24</formula>
    </cfRule>
    <cfRule type="cellIs" dxfId="29" priority="211" operator="between">
      <formula>$AI$18+$AQ$24</formula>
      <formula>$AI$18-$AQ$24</formula>
    </cfRule>
    <cfRule type="cellIs" dxfId="28" priority="213" operator="between">
      <formula>$AI$34+$AQ$24</formula>
      <formula>$AI$34-$AQ$24</formula>
    </cfRule>
  </conditionalFormatting>
  <conditionalFormatting sqref="K18:K227">
    <cfRule type="cellIs" dxfId="21" priority="214" operator="between">
      <formula>$AI$34+$AQ$24</formula>
      <formula>$AI$34-$AQ$24</formula>
    </cfRule>
    <cfRule type="cellIs" dxfId="20" priority="215" operator="between">
      <formula>$AI$24+$AQ$24</formula>
      <formula>$AI$24-$AQ$24</formula>
    </cfRule>
    <cfRule type="cellIs" dxfId="19" priority="216" operator="between">
      <formula>$AI$18+$AQ$24</formula>
      <formula>$AI$18-$AQ$24</formula>
    </cfRule>
  </conditionalFormatting>
  <conditionalFormatting sqref="X16">
    <cfRule type="expression" dxfId="18" priority="55" stopIfTrue="1">
      <formula>AP17=TRUE</formula>
    </cfRule>
  </conditionalFormatting>
  <conditionalFormatting sqref="X17">
    <cfRule type="expression" dxfId="17" priority="54" stopIfTrue="1">
      <formula>AP17=TRUE</formula>
    </cfRule>
  </conditionalFormatting>
  <conditionalFormatting sqref="X15:AA15">
    <cfRule type="expression" dxfId="16" priority="57" stopIfTrue="1">
      <formula>AP17=TRUE</formula>
    </cfRule>
  </conditionalFormatting>
  <conditionalFormatting sqref="Y16">
    <cfRule type="expression" dxfId="15" priority="53" stopIfTrue="1">
      <formula>AP17=TRUE</formula>
    </cfRule>
  </conditionalFormatting>
  <conditionalFormatting sqref="Y17">
    <cfRule type="expression" dxfId="14" priority="52" stopIfTrue="1">
      <formula>AP17=TRUE</formula>
    </cfRule>
  </conditionalFormatting>
  <conditionalFormatting sqref="Z16">
    <cfRule type="expression" dxfId="13" priority="51" stopIfTrue="1">
      <formula>AP17=TRUE</formula>
    </cfRule>
  </conditionalFormatting>
  <conditionalFormatting sqref="Z17">
    <cfRule type="expression" dxfId="12" priority="50" stopIfTrue="1">
      <formula>AP17=TRUE</formula>
    </cfRule>
  </conditionalFormatting>
  <conditionalFormatting sqref="AA16">
    <cfRule type="expression" dxfId="11" priority="49" stopIfTrue="1">
      <formula>AP17=TRUE</formula>
    </cfRule>
  </conditionalFormatting>
  <conditionalFormatting sqref="AA17">
    <cfRule type="expression" dxfId="10" priority="48" stopIfTrue="1">
      <formula>AP17=TRUE</formula>
    </cfRule>
  </conditionalFormatting>
  <conditionalFormatting sqref="AB24">
    <cfRule type="expression" dxfId="9" priority="175">
      <formula>$AG$19</formula>
    </cfRule>
  </conditionalFormatting>
  <conditionalFormatting sqref="AB25">
    <cfRule type="expression" dxfId="8" priority="13">
      <formula>$AG$20</formula>
    </cfRule>
  </conditionalFormatting>
  <conditionalFormatting sqref="AB26">
    <cfRule type="expression" dxfId="7" priority="12">
      <formula>$AG$22</formula>
    </cfRule>
  </conditionalFormatting>
  <conditionalFormatting sqref="AB27">
    <cfRule type="expression" dxfId="6" priority="176">
      <formula>$AG$25</formula>
    </cfRule>
  </conditionalFormatting>
  <conditionalFormatting sqref="AB28">
    <cfRule type="expression" dxfId="5" priority="10">
      <formula>$AG$26</formula>
    </cfRule>
  </conditionalFormatting>
  <conditionalFormatting sqref="AB29">
    <cfRule type="expression" dxfId="4" priority="179">
      <formula>$AG$34</formula>
    </cfRule>
  </conditionalFormatting>
  <conditionalFormatting sqref="AG17:AH17 AJ17 AG18:AJ27 AQ24">
    <cfRule type="expression" dxfId="3" priority="220">
      <formula>$X$11&lt;&gt;TRUE</formula>
    </cfRule>
  </conditionalFormatting>
  <conditionalFormatting sqref="AG29:AJ35">
    <cfRule type="expression" dxfId="2" priority="224">
      <formula>$X$12&lt;&gt;TRUE</formula>
    </cfRule>
  </conditionalFormatting>
  <dataValidations count="9">
    <dataValidation errorStyle="warning" allowBlank="1" showErrorMessage="1" errorTitle="Foundation Stone Warning:" error="StormTech chambers require a minimum of 6&quot; of foundation stone (entered as whole number).  You may enter a value lower than this for modeling reasons however the installation specifications must indicate a minimum of 6&quot;." promptTitle="Foundation Stone Note:" prompt="StormTech Chambers require a minimum of 6&quot; of foundation stone.  Please see the StormTech Design Manual for specific details." sqref="F11" xr:uid="{00000000-0002-0000-0200-000001000000}"/>
    <dataValidation type="whole" errorStyle="warning" allowBlank="1" showInputMessage="1" showErrorMessage="1" errorTitle="StormTech Specification Error:" error="StormTech's cover stone specifications are(mm):_x000a__x000a_SC-160     152-3000_x000a_SC-310     152-2438 _x000a_SC-740     152-2438_x000a_DC-780     152-3660_x000a_SC-800     152-2438_x000a_MC-3500   305-2438_x000a_MC-4500   305-2134_x000a_MC-7200   305-2134" sqref="F10" xr:uid="{00000000-0002-0000-0200-000002000000}">
      <formula1>152</formula1>
      <formula2>2134</formula2>
    </dataValidation>
    <dataValidation type="list" allowBlank="1" showInputMessage="1" showErrorMessage="1" sqref="F4" xr:uid="{00000000-0002-0000-0200-000003000000}">
      <formula1>Chambers2</formula1>
    </dataValidation>
    <dataValidation errorStyle="warning" operator="greaterThanOrEqual" allowBlank="1" showErrorMessage="1" errorTitle="Minimum Area Not Large Enough:" error="StormTech SC-310 chambers require a minimum spacing between chambers rows of 3&quot;.  The area entered is lower then the minimum area required for the number of chamber specified using this 3&quot; spacing." promptTitle="Foundation Stone Note:" prompt="StormTech Chambers require a minimum of 6&quot; of foundation stone.  Please see the StormTech Design Manual for specific details." sqref="E13" xr:uid="{00000000-0002-0000-0200-000004000000}"/>
    <dataValidation type="whole" errorStyle="warning" allowBlank="1" showInputMessage="1" showErrorMessage="1" errorTitle="StormTech Specification Error" error="You have input a stone amount that exceeds StormTech's maximum cover requirements.  The maximum cover for the StormTEch chambers are:_x000a_2438 mm for the SC-310 &amp; SC-740 chambers_x000a_1980 mm for the MC-3500 chamber_x000a__x000a_" sqref="AC13:AM13" xr:uid="{00000000-0002-0000-0200-000005000000}">
      <formula1>152</formula1>
      <formula2>2438</formula2>
    </dataValidation>
    <dataValidation type="custom" errorStyle="information" allowBlank="1" showInputMessage="1" showErrorMessage="1" errorTitle="Area of System" error="When including perimeter stone as part of the storage volume the area of the chamber system must be entered (cell F12)." promptTitle="Area of System" sqref="C12:C13" xr:uid="{00000000-0002-0000-0200-000006000000}">
      <formula1>"$c$12=""Area must be at least value listed to right -"""</formula1>
    </dataValidation>
    <dataValidation type="list" errorStyle="warning" allowBlank="1" showDropDown="1" showErrorMessage="1" errorTitle="Foundation Stone Warning:" error="StormTech chambers require a minimum of 6&quot; of foundation stone (entered as whole number).  You may enter a value lower than this for modeling reasons however the installation specifications must indicate a minimum of 6&quot;." promptTitle="Foundation Stone Note:" prompt="StormTech Chambers require a minimum of 6&quot; of foundation stone.  Please see the StormTech Design Manual for specific details." sqref="F12" xr:uid="{00000000-0002-0000-0200-000007000000}">
      <formula1>metseppull</formula1>
    </dataValidation>
    <dataValidation type="whole" allowBlank="1" showInputMessage="1" showErrorMessage="1" sqref="F8" xr:uid="{00000000-0002-0000-0200-000000000000}">
      <formula1>0</formula1>
      <formula2>100</formula2>
    </dataValidation>
    <dataValidation errorStyle="warning" allowBlank="1" showInputMessage="1" showErrorMessage="1" error="Number of end caps should be divisible by two." sqref="F7" xr:uid="{FBAA423A-E81C-4B50-82AD-8DE851CDAF6E}"/>
  </dataValidations>
  <pageMargins left="0.4" right="0.4" top="0.5" bottom="0.5" header="0.5" footer="0.5"/>
  <pageSetup scale="4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5" r:id="rId4" name="Check Box 3">
              <controlPr locked="0" defaultSize="0" autoFill="0" autoLine="0" autoPict="0" altText="Include Perimeter Stone in Calculations">
                <anchor moveWithCells="1">
                  <from>
                    <xdr:col>23</xdr:col>
                    <xdr:colOff>19050</xdr:colOff>
                    <xdr:row>0</xdr:row>
                    <xdr:rowOff>76200</xdr:rowOff>
                  </from>
                  <to>
                    <xdr:col>26</xdr:col>
                    <xdr:colOff>190500</xdr:colOff>
                    <xdr:row>1</xdr:row>
                    <xdr:rowOff>161925</xdr:rowOff>
                  </to>
                </anchor>
              </controlPr>
            </control>
          </mc:Choice>
        </mc:AlternateContent>
        <mc:AlternateContent xmlns:mc="http://schemas.openxmlformats.org/markup-compatibility/2006">
          <mc:Choice Requires="x14">
            <control shapeId="14066" r:id="rId5" name="Check Box 754">
              <controlPr locked="0" defaultSize="0" autoFill="0" autoLine="0" autoPict="0" altText="Click for Stage Area Data">
                <anchor moveWithCells="1">
                  <from>
                    <xdr:col>23</xdr:col>
                    <xdr:colOff>19050</xdr:colOff>
                    <xdr:row>2</xdr:row>
                    <xdr:rowOff>57150</xdr:rowOff>
                  </from>
                  <to>
                    <xdr:col>25</xdr:col>
                    <xdr:colOff>428625</xdr:colOff>
                    <xdr:row>3</xdr:row>
                    <xdr:rowOff>57150</xdr:rowOff>
                  </to>
                </anchor>
              </controlPr>
            </control>
          </mc:Choice>
        </mc:AlternateContent>
        <mc:AlternateContent xmlns:mc="http://schemas.openxmlformats.org/markup-compatibility/2006">
          <mc:Choice Requires="x14">
            <control shapeId="14067" r:id="rId6" name="Check Box 755">
              <controlPr locked="0" defaultSize="0" autoFill="0" autoLine="0" autoPict="0" altText="Click for Stage Area Data">
                <anchor moveWithCells="1">
                  <from>
                    <xdr:col>23</xdr:col>
                    <xdr:colOff>19050</xdr:colOff>
                    <xdr:row>4</xdr:row>
                    <xdr:rowOff>9525</xdr:rowOff>
                  </from>
                  <to>
                    <xdr:col>25</xdr:col>
                    <xdr:colOff>504825</xdr:colOff>
                    <xdr:row>5</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6" stopIfTrue="1" id="{00000000-000E-0000-0100-00003C000000}">
            <xm:f>'Metric Data'!$B$2</xm:f>
            <x14:dxf>
              <fill>
                <patternFill>
                  <bgColor theme="6" tint="0.39994506668294322"/>
                </patternFill>
              </fill>
              <border>
                <left style="thin">
                  <color indexed="64"/>
                </left>
                <right style="thin">
                  <color indexed="64"/>
                </right>
                <top style="thin">
                  <color indexed="64"/>
                </top>
                <bottom style="thin">
                  <color indexed="64"/>
                </bottom>
              </border>
            </x14:dxf>
          </x14:cfRule>
          <xm:sqref>F6</xm:sqref>
        </x14:conditionalFormatting>
        <x14:conditionalFormatting xmlns:xm="http://schemas.microsoft.com/office/excel/2006/main">
          <x14:cfRule type="expression" priority="18" id="{28CAE17D-22EC-43CC-8BA6-BACCC3E0F5EE}">
            <xm:f>IF('Metric Data'!$B$2,FALSE,TRUE)</xm:f>
            <x14:dxf>
              <fill>
                <patternFill>
                  <bgColor rgb="FFFFCC00"/>
                </patternFill>
              </fill>
              <border>
                <left style="thin">
                  <color rgb="FF92D050"/>
                </left>
                <right style="thin">
                  <color rgb="FF92D050"/>
                </right>
                <top style="thin">
                  <color rgb="FF92D050"/>
                </top>
                <bottom style="thin">
                  <color rgb="FF92D050"/>
                </bottom>
                <vertical/>
                <horizontal/>
              </border>
            </x14:dxf>
          </x14:cfRule>
          <xm:sqref>H18</xm:sqref>
        </x14:conditionalFormatting>
        <x14:conditionalFormatting xmlns:xm="http://schemas.microsoft.com/office/excel/2006/main">
          <x14:cfRule type="expression" priority="16" stopIfTrue="1" id="{73D8E5C2-3BF5-4A74-91C5-0036434439BD}">
            <xm:f>'Metric Data'!$B$2</xm:f>
            <x14:dxf>
              <fill>
                <patternFill patternType="lightUp">
                  <fgColor rgb="FF98D700"/>
                </patternFill>
              </fill>
              <border>
                <left/>
                <top style="thin">
                  <color auto="1"/>
                </top>
              </border>
            </x14:dxf>
          </x14:cfRule>
          <xm:sqref>J15</xm:sqref>
        </x14:conditionalFormatting>
        <x14:conditionalFormatting xmlns:xm="http://schemas.microsoft.com/office/excel/2006/main">
          <x14:cfRule type="expression" priority="21" stopIfTrue="1" id="{1778ED1E-3DC7-4588-98DB-CEA1147B893F}">
            <xm:f>'Metric Data'!$B$2</xm:f>
            <x14:dxf>
              <fill>
                <patternFill>
                  <bgColor rgb="FF97D700"/>
                </patternFill>
              </fill>
              <border>
                <right style="thin">
                  <color auto="1"/>
                </right>
                <top style="thin">
                  <color auto="1"/>
                </top>
                <bottom/>
                <vertical/>
                <horizontal/>
              </border>
            </x14:dxf>
          </x14:cfRule>
          <xm:sqref>J16</xm:sqref>
        </x14:conditionalFormatting>
        <x14:conditionalFormatting xmlns:xm="http://schemas.microsoft.com/office/excel/2006/main">
          <x14:cfRule type="expression" priority="17" id="{E00D2163-395C-4EA3-8B55-02933AF11404}">
            <xm:f>'Metric Data'!$B$2</xm:f>
            <x14:dxf>
              <fill>
                <patternFill>
                  <bgColor rgb="FFFFCC00"/>
                </patternFill>
              </fill>
              <border>
                <left style="thin">
                  <color rgb="FF92D050"/>
                </left>
                <right style="thin">
                  <color rgb="FF92D050"/>
                </right>
                <top style="thin">
                  <color rgb="FF92D050"/>
                </top>
                <bottom style="thin">
                  <color rgb="FF92D050"/>
                </bottom>
              </border>
            </x14:dxf>
          </x14:cfRule>
          <xm:sqref>J18</xm:sqref>
        </x14:conditionalFormatting>
        <x14:conditionalFormatting xmlns:xm="http://schemas.microsoft.com/office/excel/2006/main">
          <x14:cfRule type="expression" priority="20" stopIfTrue="1" id="{F02A882E-04FD-48DD-AD5C-A1A8746F90BD}">
            <xm:f>'Metric Data'!$B$2</xm:f>
            <x14:dxf>
              <fill>
                <patternFill>
                  <bgColor rgb="FF97D700"/>
                </patternFill>
              </fill>
              <border>
                <right style="thin">
                  <color auto="1"/>
                </right>
                <bottom style="thin">
                  <color auto="1"/>
                </bottom>
                <vertical/>
                <horizontal/>
              </border>
            </x14:dxf>
          </x14:cfRule>
          <xm:sqref>J17:K17</xm:sqref>
        </x14:conditionalFormatting>
        <x14:conditionalFormatting xmlns:xm="http://schemas.microsoft.com/office/excel/2006/main">
          <x14:cfRule type="expression" priority="15" stopIfTrue="1" id="{39457984-15DB-48F1-820C-50A32DD7C156}">
            <xm:f>'Metric Data'!$B$2</xm:f>
            <x14:dxf>
              <fill>
                <patternFill patternType="lightUp">
                  <fgColor rgb="FF98D700"/>
                </patternFill>
              </fill>
              <border>
                <right style="thin">
                  <color auto="1"/>
                </right>
                <top style="thin">
                  <color auto="1"/>
                </top>
                <bottom style="thin">
                  <color auto="1"/>
                </bottom>
                <vertical/>
                <horizontal/>
              </border>
            </x14:dxf>
          </x14:cfRule>
          <xm:sqref>K15</xm:sqref>
        </x14:conditionalFormatting>
        <x14:conditionalFormatting xmlns:xm="http://schemas.microsoft.com/office/excel/2006/main">
          <x14:cfRule type="expression" priority="19" stopIfTrue="1" id="{0EB5C079-5A2F-4815-8993-E1A1136295F3}">
            <xm:f>'Metric Data'!$B$2</xm:f>
            <x14:dxf>
              <fill>
                <patternFill>
                  <bgColor rgb="FF97D700"/>
                </patternFill>
              </fill>
              <border>
                <right style="thin">
                  <color auto="1"/>
                </right>
                <top style="thin">
                  <color auto="1"/>
                </top>
                <vertical/>
                <horizontal/>
              </border>
            </x14:dxf>
          </x14:cfRule>
          <xm:sqref>K16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D4628-DFEB-49B4-87D1-E5F78F4E72D1}">
  <sheetPr codeName="Sheet2">
    <tabColor indexed="44"/>
  </sheetPr>
  <dimension ref="A2:AF770"/>
  <sheetViews>
    <sheetView showGridLines="0" topLeftCell="M1" zoomScaleNormal="100" workbookViewId="0">
      <selection activeCell="D2" sqref="D2:F2"/>
    </sheetView>
  </sheetViews>
  <sheetFormatPr defaultRowHeight="12.75" x14ac:dyDescent="0.2"/>
  <cols>
    <col min="1" max="1" width="11" style="2" customWidth="1"/>
    <col min="2" max="2" width="11.28515625" customWidth="1"/>
    <col min="3" max="4" width="17" style="2" bestFit="1" customWidth="1"/>
    <col min="5" max="5" width="13.85546875" style="2" bestFit="1" customWidth="1"/>
    <col min="6" max="6" width="15" style="2" bestFit="1" customWidth="1"/>
    <col min="7" max="7" width="15.42578125" style="2" customWidth="1"/>
    <col min="8" max="8" width="21.140625" style="2" customWidth="1"/>
    <col min="9" max="9" width="15" style="2" customWidth="1"/>
    <col min="10" max="10" width="24.140625" style="2" bestFit="1" customWidth="1"/>
    <col min="11" max="12" width="28.7109375" style="2" customWidth="1"/>
    <col min="13" max="13" width="13.28515625" style="2" customWidth="1"/>
    <col min="14" max="14" width="17.7109375" style="2" customWidth="1"/>
    <col min="15" max="15" width="11.5703125" style="2" customWidth="1"/>
    <col min="16" max="17" width="19.5703125" style="2" customWidth="1"/>
    <col min="18" max="18" width="15" style="2" customWidth="1"/>
    <col min="19" max="19" width="15.7109375" style="2" customWidth="1"/>
    <col min="20" max="21" width="15.28515625" style="2" customWidth="1"/>
    <col min="22" max="22" width="12.85546875" style="2" customWidth="1"/>
    <col min="23" max="23" width="14.42578125" style="2" customWidth="1"/>
    <col min="24" max="24" width="16.28515625" style="2" customWidth="1"/>
    <col min="25" max="25" width="8.85546875" style="2" bestFit="1" customWidth="1"/>
    <col min="26" max="26" width="8.5703125" customWidth="1"/>
  </cols>
  <sheetData>
    <row r="2" spans="1:32" ht="16.5" thickBot="1" x14ac:dyDescent="0.3">
      <c r="B2" s="1" t="s">
        <v>0</v>
      </c>
      <c r="C2" s="262"/>
      <c r="D2" s="262"/>
      <c r="E2" s="262"/>
      <c r="F2" s="262"/>
      <c r="G2" s="262"/>
    </row>
    <row r="3" spans="1:32" x14ac:dyDescent="0.2">
      <c r="E3" s="3"/>
      <c r="F3" s="3"/>
      <c r="G3" s="3"/>
      <c r="H3" s="3"/>
      <c r="K3" s="3"/>
      <c r="L3" s="3"/>
      <c r="M3" s="3"/>
      <c r="N3" s="3"/>
      <c r="X3" s="3"/>
      <c r="AF3">
        <v>6.75</v>
      </c>
    </row>
    <row r="4" spans="1:32" x14ac:dyDescent="0.2">
      <c r="B4" s="4" t="s">
        <v>51</v>
      </c>
      <c r="E4" s="5">
        <f>IF('Imperial Data'!B2,'Cumulative Volumes Imperial'!F6,'Cumulative Volumes Imperial'!F7)</f>
        <v>100</v>
      </c>
      <c r="F4" s="263"/>
      <c r="H4" s="6"/>
      <c r="I4" s="7"/>
      <c r="J4" s="264"/>
      <c r="K4" s="9"/>
      <c r="L4" s="9"/>
      <c r="M4" s="9"/>
      <c r="N4" s="9"/>
      <c r="X4" s="9"/>
      <c r="AC4">
        <v>32.799999999999997</v>
      </c>
      <c r="AD4">
        <v>12</v>
      </c>
      <c r="AE4">
        <f>AC4+AD4</f>
        <v>44.8</v>
      </c>
      <c r="AF4">
        <f>AE4/12</f>
        <v>3.7333333333333329</v>
      </c>
    </row>
    <row r="5" spans="1:32" x14ac:dyDescent="0.2">
      <c r="B5" s="4" t="s">
        <v>58</v>
      </c>
      <c r="E5" s="5">
        <f>IF('Imperial Data'!B2,'Cumulative Volumes Imperial'!F7,0)</f>
        <v>10</v>
      </c>
      <c r="F5" s="263"/>
      <c r="H5" s="7"/>
      <c r="I5" s="7"/>
      <c r="J5" s="264"/>
      <c r="X5" s="9"/>
      <c r="AC5">
        <v>109</v>
      </c>
      <c r="AF5">
        <f>AC5/12</f>
        <v>9.0833333333333339</v>
      </c>
    </row>
    <row r="6" spans="1:32" x14ac:dyDescent="0.2">
      <c r="B6" s="117" t="s">
        <v>14</v>
      </c>
      <c r="E6" s="10">
        <f>'Cumulative Volumes Imperial'!F8</f>
        <v>40</v>
      </c>
      <c r="F6" s="11" t="s">
        <v>15</v>
      </c>
      <c r="G6" s="12"/>
      <c r="H6" s="13">
        <f>E6/100</f>
        <v>0.4</v>
      </c>
      <c r="I6" s="2">
        <v>0</v>
      </c>
      <c r="X6" s="12"/>
      <c r="AF6">
        <f>AF5*AF4*AF3</f>
        <v>228.9</v>
      </c>
    </row>
    <row r="7" spans="1:32" x14ac:dyDescent="0.2">
      <c r="B7" t="s">
        <v>52</v>
      </c>
      <c r="C7"/>
      <c r="D7"/>
      <c r="E7" s="14">
        <f>'Cumulative Volumes Imperial'!F9</f>
        <v>100</v>
      </c>
      <c r="F7" s="4" t="s">
        <v>19</v>
      </c>
      <c r="G7" s="4"/>
      <c r="I7" s="2">
        <v>100</v>
      </c>
      <c r="X7" s="4"/>
      <c r="AF7">
        <f>AF6-39.5</f>
        <v>189.4</v>
      </c>
    </row>
    <row r="8" spans="1:32" x14ac:dyDescent="0.2">
      <c r="B8" t="s">
        <v>53</v>
      </c>
      <c r="C8"/>
      <c r="D8"/>
      <c r="E8" s="54">
        <f>'Cumulative Volumes Imperial'!F10</f>
        <v>12</v>
      </c>
      <c r="F8" s="4" t="s">
        <v>23</v>
      </c>
      <c r="G8" s="4"/>
      <c r="X8" s="4"/>
      <c r="AF8">
        <f>(AF7/100)*'Cumulative Volumes Imperial'!F8</f>
        <v>75.760000000000005</v>
      </c>
    </row>
    <row r="9" spans="1:32" x14ac:dyDescent="0.2">
      <c r="B9" t="s">
        <v>54</v>
      </c>
      <c r="E9" s="54">
        <f>'Cumulative Volumes Imperial'!F11</f>
        <v>9</v>
      </c>
      <c r="F9" s="4" t="s">
        <v>23</v>
      </c>
      <c r="G9" s="4"/>
      <c r="J9" s="265"/>
      <c r="N9" s="15"/>
      <c r="X9" s="4"/>
      <c r="AF9">
        <f>AF8+39.5</f>
        <v>115.26</v>
      </c>
    </row>
    <row r="10" spans="1:32" x14ac:dyDescent="0.2">
      <c r="E10" s="42">
        <f>'Cumulative Volumes Imperial'!F13</f>
        <v>6400</v>
      </c>
      <c r="F10" s="4"/>
      <c r="J10" s="265"/>
      <c r="X10" s="4"/>
    </row>
    <row r="11" spans="1:32" ht="31.5" customHeight="1" x14ac:dyDescent="0.2">
      <c r="B11" s="266" t="str">
        <f>IF(E9&lt;9,"StormTech requires a minimum of 9 inches of stone below the chambers.","  ")</f>
        <v xml:space="preserve">  </v>
      </c>
      <c r="C11" s="267"/>
      <c r="E11" s="18"/>
      <c r="F11" s="18"/>
      <c r="G11" s="268"/>
      <c r="H11" s="269"/>
      <c r="I11" s="269"/>
      <c r="J11" s="269"/>
      <c r="K11" s="17"/>
      <c r="L11" s="17"/>
      <c r="M11" s="17"/>
      <c r="N11" s="17"/>
      <c r="O11" s="16"/>
      <c r="P11" s="74"/>
      <c r="Q11" s="74"/>
      <c r="R11" s="74"/>
      <c r="S11" s="16"/>
      <c r="T11" s="19"/>
      <c r="U11" s="19"/>
      <c r="V11" s="19"/>
      <c r="W11" s="19"/>
      <c r="X11" s="19"/>
      <c r="Y11" s="19"/>
      <c r="Z11" s="19"/>
    </row>
    <row r="12" spans="1:32" ht="24" thickBot="1" x14ac:dyDescent="0.4">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0"/>
    </row>
    <row r="13" spans="1:32" s="26" customFormat="1" ht="30.75" customHeight="1" thickBot="1" x14ac:dyDescent="0.25">
      <c r="A13" s="116" t="s">
        <v>138</v>
      </c>
      <c r="B13" s="21" t="s">
        <v>55</v>
      </c>
      <c r="C13" s="118" t="s">
        <v>56</v>
      </c>
      <c r="D13" s="118" t="s">
        <v>59</v>
      </c>
      <c r="E13" s="118" t="s">
        <v>60</v>
      </c>
      <c r="F13" s="118" t="s">
        <v>61</v>
      </c>
      <c r="G13" s="118" t="s">
        <v>62</v>
      </c>
      <c r="H13" s="22" t="s">
        <v>62</v>
      </c>
      <c r="I13" s="22" t="s">
        <v>62</v>
      </c>
      <c r="J13" s="23" t="s">
        <v>63</v>
      </c>
      <c r="K13" s="23" t="s">
        <v>64</v>
      </c>
      <c r="L13" s="23" t="s">
        <v>63</v>
      </c>
      <c r="M13" s="24" t="s">
        <v>65</v>
      </c>
      <c r="N13" s="118" t="s">
        <v>66</v>
      </c>
      <c r="O13" s="118" t="s">
        <v>67</v>
      </c>
      <c r="P13" s="23" t="s">
        <v>68</v>
      </c>
      <c r="Q13" s="23" t="s">
        <v>69</v>
      </c>
      <c r="R13" s="23" t="s">
        <v>70</v>
      </c>
      <c r="S13" s="23" t="s">
        <v>71</v>
      </c>
      <c r="T13" s="118" t="s">
        <v>72</v>
      </c>
      <c r="U13" s="118" t="s">
        <v>73</v>
      </c>
      <c r="V13" s="118" t="s">
        <v>74</v>
      </c>
      <c r="W13" s="118" t="s">
        <v>75</v>
      </c>
      <c r="X13" s="118" t="s">
        <v>76</v>
      </c>
      <c r="Y13" s="25" t="s">
        <v>77</v>
      </c>
      <c r="AB13" s="116"/>
    </row>
    <row r="14" spans="1:32" x14ac:dyDescent="0.2">
      <c r="A14" s="2">
        <v>1</v>
      </c>
      <c r="B14" s="27">
        <f>'Imperial Data'!AB6</f>
        <v>81</v>
      </c>
      <c r="C14" s="28">
        <f>IF(B14=0,"",IF('Imperial Data'!AG3&gt;=1, INDEX(Imperial_Incremental[], MATCH('Imperial Data'!AG3, Imperial_Incremental[Height], 1), MATCH('Cumulative Volumes Imperial'!$F$4, Imperial_Incremental[#Headers], 0)), 0))</f>
        <v>0</v>
      </c>
      <c r="D14" s="28">
        <f>IF(B14=0,"",IF('Imperial Data'!AG3&gt;=1, INDEX(Imperial_Incremental[], MATCH('Imperial Data'!AG3, Imperial_Incremental[Height], 1), MATCH('Cumulative Volumes Imperial'!$F$4 &amp; "EC", Imperial_Incremental[#Headers], 0)), 0))</f>
        <v>0</v>
      </c>
      <c r="E14" s="28">
        <f>IF(B14=0,"",$E$4*C14)</f>
        <v>0</v>
      </c>
      <c r="F14" s="28">
        <f>IF(B14=0,"",$E$5*D14)</f>
        <v>0</v>
      </c>
      <c r="G14" s="28">
        <f>IF(B14=0,"",IF('Cumulative Volumes Imperial'!$AQ$17=FALSE,I14,H14))</f>
        <v>213.33333333333331</v>
      </c>
      <c r="H14" s="28">
        <f>IF(B14=0,"",$H$6*($E$10*(1/12)-(E14+F14)))</f>
        <v>213.33333333333331</v>
      </c>
      <c r="I14" s="28">
        <f>IF(B14=0,"",Q14+S14)</f>
        <v>211.00078703703707</v>
      </c>
      <c r="J14" s="28">
        <f>IF(B14="","",IF('Cumulative Volumes Imperial'!$AQ$17=FALSE,L14,K14))</f>
        <v>213.33333333333331</v>
      </c>
      <c r="K14" s="28">
        <f>IF(B14=0,"",H14+F14+E14)</f>
        <v>213.33333333333331</v>
      </c>
      <c r="L14" s="28">
        <f>IF(B14=0,"",E14+F14+I14)</f>
        <v>211.00078703703707</v>
      </c>
      <c r="M14" s="28">
        <f>IF($E$8+45+$E$9&gt;989,"FALSE",IF(B14="","",IF('Cumulative Volumes Imperial'!$AQ$17=FALSE,O14,N14)))</f>
        <v>28071.38489279999</v>
      </c>
      <c r="N14" s="28">
        <f>IF(B14=0,"",IF(B14=1,K14,N15+K14))</f>
        <v>28071.38489279999</v>
      </c>
      <c r="O14" s="30">
        <f>IF(B14=0,"",IF('Cumulative Volumes Imperial'!$AQ$17=FALSE,(V14*$E$4)+(W14*$E$5),N14))</f>
        <v>28071.38489279999</v>
      </c>
      <c r="P14" s="28">
        <f>IF(B14=0,"",(((1/12)*'Imperial Data'!$AC$4*'Imperial Data'!$AC$5)-C14)*$H$6)</f>
        <v>1.9969708333333338</v>
      </c>
      <c r="Q14" s="28">
        <f>IF(B14=0,"",P14*$E$4)</f>
        <v>199.69708333333338</v>
      </c>
      <c r="R14" s="28">
        <f>IF(B14=0,"",(((1/12)*'Imperial Data'!$AC$5*'Imperial Data'!$AC$7)-D14)*$H$6)</f>
        <v>1.1303703703703702</v>
      </c>
      <c r="S14" s="28">
        <f>IF(B14=0,"",R14*$E$5)</f>
        <v>11.303703703703702</v>
      </c>
      <c r="T14" s="28">
        <f t="shared" ref="T14:T77" si="0">IF(B14=0,"",IF(B14=1,C14,T15+C14))</f>
        <v>175.90200752000001</v>
      </c>
      <c r="U14" s="28">
        <f t="shared" ref="U14:U77" si="1">IF(B14=0,"",IF(B14=1,D14,U15+D14))</f>
        <v>39.544073599999997</v>
      </c>
      <c r="V14" s="30">
        <f>IF(B14=0,"",IF(B14=1,C14+P14,V15+C14+P14))</f>
        <v>267.29584201199992</v>
      </c>
      <c r="W14" s="30">
        <f>IF(B14=0,"",IF(B14=1,D14+R14,W15+D14+R14))</f>
        <v>115.28644415999995</v>
      </c>
      <c r="X14" s="31">
        <f t="shared" ref="X14:X77" si="2">IF(B14=0,"",IF(B14=1,P14+R14,(X15+P14+R14)))</f>
        <v>167.13620505200001</v>
      </c>
      <c r="Y14" s="28">
        <f>IF(B14=0,"",$E$7+B14/12)</f>
        <v>106.75</v>
      </c>
      <c r="Z14" s="32"/>
      <c r="AA14" s="33"/>
      <c r="AB14" s="2"/>
    </row>
    <row r="15" spans="1:32" x14ac:dyDescent="0.2">
      <c r="A15" s="2">
        <v>2</v>
      </c>
      <c r="B15" s="34">
        <f>IF(B14=0,0,IF(B14=" ","",IF(B14-1&gt;0,B14-1,0)))</f>
        <v>80</v>
      </c>
      <c r="C15" s="30">
        <f>IF(B15=0,"",IF('Imperial Data'!AG4&gt;=1, INDEX(Imperial_Incremental[], MATCH('Imperial Data'!AG4, Imperial_Incremental[Height], 1), MATCH('Cumulative Volumes Imperial'!$F$4, Imperial_Incremental[#Headers], 0)), 0))</f>
        <v>0</v>
      </c>
      <c r="D15" s="30">
        <f>IF(B15=0,"",IF('Imperial Data'!AG4&gt;=1, INDEX(Imperial_Incremental[], MATCH('Imperial Data'!AG4, Imperial_Incremental[Height], 1), MATCH('Cumulative Volumes Imperial'!$F$4 &amp; "EC", Imperial_Incremental[#Headers], 0)), 0))</f>
        <v>0</v>
      </c>
      <c r="E15" s="30">
        <f>IF(B15=0,"",$E$4*C15)</f>
        <v>0</v>
      </c>
      <c r="F15" s="30">
        <f t="shared" ref="F15:F77" si="3">IF(B15=0,"",$E$5*D15)</f>
        <v>0</v>
      </c>
      <c r="G15" s="30">
        <f>IF(B15=0,"",IF('Cumulative Volumes Imperial'!$AQ$17=FALSE,I15,H15))</f>
        <v>213.33333333333331</v>
      </c>
      <c r="H15" s="30">
        <f t="shared" ref="H15:H77" si="4">IF(B15=0,"",$H$6*($E$10*(1/12)-(E15+F15)))</f>
        <v>213.33333333333331</v>
      </c>
      <c r="I15" s="30">
        <f t="shared" ref="I15:I77" si="5">IF(B15=0,"",Q15+S15)</f>
        <v>211.00078703703707</v>
      </c>
      <c r="J15" s="30">
        <f>IF(B15="","",IF('Cumulative Volumes Imperial'!$AQ$17=FALSE,L15,K15))</f>
        <v>213.33333333333331</v>
      </c>
      <c r="K15" s="30">
        <f t="shared" ref="K15:K77" si="6">IF(B15=0,"",H15+F15+E15)</f>
        <v>213.33333333333331</v>
      </c>
      <c r="L15" s="30">
        <f t="shared" ref="L15:L77" si="7">IF(B15=0,"",E15+F15+I15)</f>
        <v>211.00078703703707</v>
      </c>
      <c r="M15" s="30">
        <f>IF($E$8+45+$E$9&gt;989,"FALSE",IF(B15="","",IF('Cumulative Volumes Imperial'!$AQ$17=FALSE,O15,N15)))</f>
        <v>27858.051559466658</v>
      </c>
      <c r="N15" s="30">
        <f t="shared" ref="N15:N77" si="8">IF(B15=0,"",IF(B15=1,K15,N16+K15))</f>
        <v>27858.051559466658</v>
      </c>
      <c r="O15" s="30">
        <f>IF(B15=0,"",IF('Cumulative Volumes Imperial'!$AQ$17=FALSE,(V15*$E$4)+(W15*$E$5),N15))</f>
        <v>27858.051559466658</v>
      </c>
      <c r="P15" s="30">
        <f>IF(B15=0,"",(((1/12)*'Imperial Data'!$AC$4*'Imperial Data'!$AC$5)-C15)*$H$6)</f>
        <v>1.9969708333333338</v>
      </c>
      <c r="Q15" s="30">
        <f t="shared" ref="Q15:Q77" si="9">IF(B15=0,"",P15*$E$4)</f>
        <v>199.69708333333338</v>
      </c>
      <c r="R15" s="30">
        <f>IF(B15=0,"",(((1/12)*'Imperial Data'!$AC$5*'Imperial Data'!$AC$7)-D15)*$H$6)</f>
        <v>1.1303703703703702</v>
      </c>
      <c r="S15" s="30">
        <f t="shared" ref="S15:S77" si="10">IF(B15=0,"",R15*$E$5)</f>
        <v>11.303703703703702</v>
      </c>
      <c r="T15" s="30">
        <f t="shared" si="0"/>
        <v>175.90200752000001</v>
      </c>
      <c r="U15" s="30">
        <f t="shared" si="1"/>
        <v>39.544073599999997</v>
      </c>
      <c r="V15" s="30">
        <f t="shared" ref="V15:V77" si="11">IF(B15=0,"",IF(B15=1,C15+P15,V16+C15+P15))</f>
        <v>265.29887117866662</v>
      </c>
      <c r="W15" s="30">
        <f t="shared" ref="W15:W78" si="12">IF(B15=0,"",IF(B15=1,D15+R15,W16+D15+R15))</f>
        <v>114.15607378962957</v>
      </c>
      <c r="X15" s="31">
        <f t="shared" si="2"/>
        <v>164.0088638482963</v>
      </c>
      <c r="Y15" s="30">
        <f t="shared" ref="Y15:Y78" si="13">IF(B15=0,"",$E$7+B15/12)</f>
        <v>106.66666666666667</v>
      </c>
      <c r="Z15" s="32"/>
      <c r="AB15" s="2"/>
    </row>
    <row r="16" spans="1:32" x14ac:dyDescent="0.2">
      <c r="A16" s="2">
        <v>3</v>
      </c>
      <c r="B16" s="34">
        <f t="shared" ref="B16:B79" si="14">IF(B15=0,0,IF(B15=" ","",IF(B15-1&gt;0,B15-1,0)))</f>
        <v>79</v>
      </c>
      <c r="C16" s="30">
        <f>IF(B16=0,"",IF('Imperial Data'!AG5&gt;=1, INDEX(Imperial_Incremental[], MATCH('Imperial Data'!AG5, Imperial_Incremental[Height], 1), MATCH('Cumulative Volumes Imperial'!$F$4, Imperial_Incremental[#Headers], 0)), 0))</f>
        <v>0</v>
      </c>
      <c r="D16" s="30">
        <f>IF(B16=0,"",IF('Imperial Data'!AG5&gt;=1, INDEX(Imperial_Incremental[], MATCH('Imperial Data'!AG5, Imperial_Incremental[Height], 1), MATCH('Cumulative Volumes Imperial'!$F$4 &amp; "EC", Imperial_Incremental[#Headers], 0)), 0))</f>
        <v>0</v>
      </c>
      <c r="E16" s="30">
        <f t="shared" ref="E16:E77" si="15">IF(B16=0,"",$E$4*C16)</f>
        <v>0</v>
      </c>
      <c r="F16" s="30">
        <f t="shared" si="3"/>
        <v>0</v>
      </c>
      <c r="G16" s="30">
        <f>IF(B16=0,"",IF('Cumulative Volumes Imperial'!$AQ$17=FALSE,I16,H16))</f>
        <v>213.33333333333331</v>
      </c>
      <c r="H16" s="30">
        <f t="shared" si="4"/>
        <v>213.33333333333331</v>
      </c>
      <c r="I16" s="30">
        <f t="shared" si="5"/>
        <v>211.00078703703707</v>
      </c>
      <c r="J16" s="30">
        <f>IF(B16="","",IF('Cumulative Volumes Imperial'!$AQ$17=FALSE,L16,K16))</f>
        <v>213.33333333333331</v>
      </c>
      <c r="K16" s="30">
        <f t="shared" si="6"/>
        <v>213.33333333333331</v>
      </c>
      <c r="L16" s="30">
        <f t="shared" si="7"/>
        <v>211.00078703703707</v>
      </c>
      <c r="M16" s="30">
        <f>IF($E$8+45+$E$9&gt;989,"FALSE",IF(B16="","",IF('Cumulative Volumes Imperial'!$AQ$17=FALSE,O16,N16)))</f>
        <v>27644.718226133326</v>
      </c>
      <c r="N16" s="30">
        <f t="shared" si="8"/>
        <v>27644.718226133326</v>
      </c>
      <c r="O16" s="30">
        <f>IF(B16=0,"",IF('Cumulative Volumes Imperial'!$AQ$17=FALSE,(V16*$E$4)+(W16*$E$5),N16))</f>
        <v>27644.718226133326</v>
      </c>
      <c r="P16" s="30">
        <f>IF(B16=0,"",(((1/12)*'Imperial Data'!$AC$4*'Imperial Data'!$AC$5)-C16)*$H$6)</f>
        <v>1.9969708333333338</v>
      </c>
      <c r="Q16" s="30">
        <f t="shared" si="9"/>
        <v>199.69708333333338</v>
      </c>
      <c r="R16" s="30">
        <f>IF(B16=0,"",(((1/12)*'Imperial Data'!$AC$5*'Imperial Data'!$AC$7)-D16)*$H$6)</f>
        <v>1.1303703703703702</v>
      </c>
      <c r="S16" s="30">
        <f t="shared" si="10"/>
        <v>11.303703703703702</v>
      </c>
      <c r="T16" s="30">
        <f t="shared" si="0"/>
        <v>175.90200752000001</v>
      </c>
      <c r="U16" s="30">
        <f t="shared" si="1"/>
        <v>39.544073599999997</v>
      </c>
      <c r="V16" s="30">
        <f t="shared" si="11"/>
        <v>263.30190034533331</v>
      </c>
      <c r="W16" s="30">
        <f t="shared" si="12"/>
        <v>113.0257034192592</v>
      </c>
      <c r="X16" s="31">
        <f t="shared" si="2"/>
        <v>160.88152264459259</v>
      </c>
      <c r="Y16" s="30">
        <f t="shared" si="13"/>
        <v>106.58333333333333</v>
      </c>
      <c r="Z16" s="32"/>
      <c r="AB16" s="2"/>
    </row>
    <row r="17" spans="1:25" x14ac:dyDescent="0.2">
      <c r="A17" s="2">
        <v>4</v>
      </c>
      <c r="B17" s="34">
        <f t="shared" si="14"/>
        <v>78</v>
      </c>
      <c r="C17" s="30">
        <f>IF(B17=0,"",IF('Imperial Data'!AG6&gt;=1, INDEX(Imperial_Incremental[], MATCH('Imperial Data'!AG6, Imperial_Incremental[Height], 1), MATCH('Cumulative Volumes Imperial'!$F$4, Imperial_Incremental[#Headers], 0)), 0))</f>
        <v>0</v>
      </c>
      <c r="D17" s="30">
        <f>IF(B17=0,"",IF('Imperial Data'!AG6&gt;=1, INDEX(Imperial_Incremental[], MATCH('Imperial Data'!AG6, Imperial_Incremental[Height], 1), MATCH('Cumulative Volumes Imperial'!$F$4 &amp; "EC", Imperial_Incremental[#Headers], 0)), 0))</f>
        <v>0</v>
      </c>
      <c r="E17" s="30">
        <f t="shared" si="15"/>
        <v>0</v>
      </c>
      <c r="F17" s="30">
        <f t="shared" si="3"/>
        <v>0</v>
      </c>
      <c r="G17" s="30">
        <f>IF(B17=0,"",IF('Cumulative Volumes Imperial'!$AQ$17=FALSE,I17,H17))</f>
        <v>213.33333333333331</v>
      </c>
      <c r="H17" s="30">
        <f t="shared" si="4"/>
        <v>213.33333333333331</v>
      </c>
      <c r="I17" s="30">
        <f t="shared" si="5"/>
        <v>211.00078703703707</v>
      </c>
      <c r="J17" s="30">
        <f>IF(B17="","",IF('Cumulative Volumes Imperial'!$AQ$17=FALSE,L17,K17))</f>
        <v>213.33333333333331</v>
      </c>
      <c r="K17" s="30">
        <f t="shared" si="6"/>
        <v>213.33333333333331</v>
      </c>
      <c r="L17" s="30">
        <f t="shared" si="7"/>
        <v>211.00078703703707</v>
      </c>
      <c r="M17" s="30">
        <f>IF($E$8+45+$E$9&gt;989,"FALSE",IF(B17="","",IF('Cumulative Volumes Imperial'!$AQ$17=FALSE,O17,N17)))</f>
        <v>27431.384892799993</v>
      </c>
      <c r="N17" s="30">
        <f t="shared" si="8"/>
        <v>27431.384892799993</v>
      </c>
      <c r="O17" s="30">
        <f>IF(B17=0,"",IF('Cumulative Volumes Imperial'!$AQ$17=FALSE,(V17*$E$4)+(W17*$E$5),N17))</f>
        <v>27431.384892799993</v>
      </c>
      <c r="P17" s="30">
        <f>IF(B17=0,"",(((1/12)*'Imperial Data'!$AC$4*'Imperial Data'!$AC$5)-C17)*$H$6)</f>
        <v>1.9969708333333338</v>
      </c>
      <c r="Q17" s="30">
        <f t="shared" si="9"/>
        <v>199.69708333333338</v>
      </c>
      <c r="R17" s="30">
        <f>IF(B17=0,"",(((1/12)*'Imperial Data'!$AC$5*'Imperial Data'!$AC$7)-D17)*$H$6)</f>
        <v>1.1303703703703702</v>
      </c>
      <c r="S17" s="30">
        <f t="shared" si="10"/>
        <v>11.303703703703702</v>
      </c>
      <c r="T17" s="30">
        <f t="shared" si="0"/>
        <v>175.90200752000001</v>
      </c>
      <c r="U17" s="30">
        <f t="shared" si="1"/>
        <v>39.544073599999997</v>
      </c>
      <c r="V17" s="30">
        <f t="shared" si="11"/>
        <v>261.304929512</v>
      </c>
      <c r="W17" s="30">
        <f t="shared" si="12"/>
        <v>111.89533304888883</v>
      </c>
      <c r="X17" s="31">
        <f t="shared" si="2"/>
        <v>157.75418144088889</v>
      </c>
      <c r="Y17" s="30">
        <f t="shared" si="13"/>
        <v>106.5</v>
      </c>
    </row>
    <row r="18" spans="1:25" x14ac:dyDescent="0.2">
      <c r="A18" s="2">
        <v>5</v>
      </c>
      <c r="B18" s="34">
        <f t="shared" si="14"/>
        <v>77</v>
      </c>
      <c r="C18" s="30">
        <f>IF(B18=0,"",IF('Imperial Data'!AG7&gt;=1, INDEX(Imperial_Incremental[], MATCH('Imperial Data'!AG7, Imperial_Incremental[Height], 1), MATCH('Cumulative Volumes Imperial'!$F$4, Imperial_Incremental[#Headers], 0)), 0))</f>
        <v>0</v>
      </c>
      <c r="D18" s="30">
        <f>IF(B18=0,"",IF('Imperial Data'!AG7&gt;=1, INDEX(Imperial_Incremental[], MATCH('Imperial Data'!AG7, Imperial_Incremental[Height], 1), MATCH('Cumulative Volumes Imperial'!$F$4 &amp; "EC", Imperial_Incremental[#Headers], 0)), 0))</f>
        <v>0</v>
      </c>
      <c r="E18" s="30">
        <f t="shared" si="15"/>
        <v>0</v>
      </c>
      <c r="F18" s="30">
        <f t="shared" si="3"/>
        <v>0</v>
      </c>
      <c r="G18" s="30">
        <f>IF(B18=0,"",IF('Cumulative Volumes Imperial'!$AQ$17=FALSE,I18,H18))</f>
        <v>213.33333333333331</v>
      </c>
      <c r="H18" s="30">
        <f t="shared" si="4"/>
        <v>213.33333333333331</v>
      </c>
      <c r="I18" s="30">
        <f t="shared" si="5"/>
        <v>211.00078703703707</v>
      </c>
      <c r="J18" s="30">
        <f>IF(B18="","",IF('Cumulative Volumes Imperial'!$AQ$17=FALSE,L18,K18))</f>
        <v>213.33333333333331</v>
      </c>
      <c r="K18" s="30">
        <f t="shared" si="6"/>
        <v>213.33333333333331</v>
      </c>
      <c r="L18" s="30">
        <f t="shared" si="7"/>
        <v>211.00078703703707</v>
      </c>
      <c r="M18" s="30">
        <f>IF($E$8+45+$E$9&gt;989,"FALSE",IF(B18="","",IF('Cumulative Volumes Imperial'!$AQ$17=FALSE,O18,N18)))</f>
        <v>27218.051559466661</v>
      </c>
      <c r="N18" s="30">
        <f t="shared" si="8"/>
        <v>27218.051559466661</v>
      </c>
      <c r="O18" s="30">
        <f>IF(B18=0,"",IF('Cumulative Volumes Imperial'!$AQ$17=FALSE,(V18*$E$4)+(W18*$E$5),N18))</f>
        <v>27218.051559466661</v>
      </c>
      <c r="P18" s="30">
        <f>IF(B18=0,"",(((1/12)*'Imperial Data'!$AC$4*'Imperial Data'!$AC$5)-C18)*$H$6)</f>
        <v>1.9969708333333338</v>
      </c>
      <c r="Q18" s="30">
        <f t="shared" si="9"/>
        <v>199.69708333333338</v>
      </c>
      <c r="R18" s="30">
        <f>IF(B18=0,"",(((1/12)*'Imperial Data'!$AC$5*'Imperial Data'!$AC$7)-D18)*$H$6)</f>
        <v>1.1303703703703702</v>
      </c>
      <c r="S18" s="30">
        <f t="shared" si="10"/>
        <v>11.303703703703702</v>
      </c>
      <c r="T18" s="30">
        <f t="shared" si="0"/>
        <v>175.90200752000001</v>
      </c>
      <c r="U18" s="30">
        <f t="shared" si="1"/>
        <v>39.544073599999997</v>
      </c>
      <c r="V18" s="30">
        <f t="shared" si="11"/>
        <v>259.30795867866669</v>
      </c>
      <c r="W18" s="30">
        <f t="shared" si="12"/>
        <v>110.76496267851846</v>
      </c>
      <c r="X18" s="31">
        <f t="shared" si="2"/>
        <v>154.62684023718518</v>
      </c>
      <c r="Y18" s="30">
        <f t="shared" si="13"/>
        <v>106.41666666666667</v>
      </c>
    </row>
    <row r="19" spans="1:25" x14ac:dyDescent="0.2">
      <c r="A19" s="2">
        <v>6</v>
      </c>
      <c r="B19" s="34">
        <f t="shared" si="14"/>
        <v>76</v>
      </c>
      <c r="C19" s="30">
        <f>IF(B19=0,"",IF('Imperial Data'!AG8&gt;=1, INDEX(Imperial_Incremental[], MATCH('Imperial Data'!AG8, Imperial_Incremental[Height], 1), MATCH('Cumulative Volumes Imperial'!$F$4, Imperial_Incremental[#Headers], 0)), 0))</f>
        <v>0</v>
      </c>
      <c r="D19" s="30">
        <f>IF(B19=0,"",IF('Imperial Data'!AG8&gt;=1, INDEX(Imperial_Incremental[], MATCH('Imperial Data'!AG8, Imperial_Incremental[Height], 1), MATCH('Cumulative Volumes Imperial'!$F$4 &amp; "EC", Imperial_Incremental[#Headers], 0)), 0))</f>
        <v>0</v>
      </c>
      <c r="E19" s="30">
        <f t="shared" si="15"/>
        <v>0</v>
      </c>
      <c r="F19" s="30">
        <f t="shared" si="3"/>
        <v>0</v>
      </c>
      <c r="G19" s="30">
        <f>IF(B19=0,"",IF('Cumulative Volumes Imperial'!$AQ$17=FALSE,I19,H19))</f>
        <v>213.33333333333331</v>
      </c>
      <c r="H19" s="30">
        <f t="shared" si="4"/>
        <v>213.33333333333331</v>
      </c>
      <c r="I19" s="30">
        <f t="shared" si="5"/>
        <v>211.00078703703707</v>
      </c>
      <c r="J19" s="30">
        <f>IF(B19="","",IF('Cumulative Volumes Imperial'!$AQ$17=FALSE,L19,K19))</f>
        <v>213.33333333333331</v>
      </c>
      <c r="K19" s="30">
        <f t="shared" si="6"/>
        <v>213.33333333333331</v>
      </c>
      <c r="L19" s="30">
        <f t="shared" si="7"/>
        <v>211.00078703703707</v>
      </c>
      <c r="M19" s="30">
        <f>IF($E$8+45+$E$9&gt;989,"FALSE",IF(B19="","",IF('Cumulative Volumes Imperial'!$AQ$17=FALSE,O19,N19)))</f>
        <v>27004.718226133329</v>
      </c>
      <c r="N19" s="30">
        <f t="shared" si="8"/>
        <v>27004.718226133329</v>
      </c>
      <c r="O19" s="30">
        <f>IF(B19=0,"",IF('Cumulative Volumes Imperial'!$AQ$17=FALSE,(V19*$E$4)+(W19*$E$5),N19))</f>
        <v>27004.718226133329</v>
      </c>
      <c r="P19" s="30">
        <f>IF(B19=0,"",(((1/12)*'Imperial Data'!$AC$4*'Imperial Data'!$AC$5)-C19)*$H$6)</f>
        <v>1.9969708333333338</v>
      </c>
      <c r="Q19" s="30">
        <f t="shared" si="9"/>
        <v>199.69708333333338</v>
      </c>
      <c r="R19" s="30">
        <f>IF(B19=0,"",(((1/12)*'Imperial Data'!$AC$5*'Imperial Data'!$AC$7)-D19)*$H$6)</f>
        <v>1.1303703703703702</v>
      </c>
      <c r="S19" s="30">
        <f t="shared" si="10"/>
        <v>11.303703703703702</v>
      </c>
      <c r="T19" s="30">
        <f t="shared" si="0"/>
        <v>175.90200752000001</v>
      </c>
      <c r="U19" s="30">
        <f t="shared" si="1"/>
        <v>39.544073599999997</v>
      </c>
      <c r="V19" s="30">
        <f t="shared" si="11"/>
        <v>257.31098784533339</v>
      </c>
      <c r="W19" s="30">
        <f t="shared" si="12"/>
        <v>109.63459230814809</v>
      </c>
      <c r="X19" s="31">
        <f t="shared" si="2"/>
        <v>151.49949903348147</v>
      </c>
      <c r="Y19" s="30">
        <f t="shared" si="13"/>
        <v>106.33333333333333</v>
      </c>
    </row>
    <row r="20" spans="1:25" x14ac:dyDescent="0.2">
      <c r="A20" s="2">
        <v>7</v>
      </c>
      <c r="B20" s="34">
        <f t="shared" si="14"/>
        <v>75</v>
      </c>
      <c r="C20" s="30">
        <f>IF(B20=0,"",IF('Imperial Data'!AG9&gt;=1, INDEX(Imperial_Incremental[], MATCH('Imperial Data'!AG9, Imperial_Incremental[Height], 1), MATCH('Cumulative Volumes Imperial'!$F$4, Imperial_Incremental[#Headers], 0)), 0))</f>
        <v>0</v>
      </c>
      <c r="D20" s="30">
        <f>IF(B20=0,"",IF('Imperial Data'!AG9&gt;=1, INDEX(Imperial_Incremental[], MATCH('Imperial Data'!AG9, Imperial_Incremental[Height], 1), MATCH('Cumulative Volumes Imperial'!$F$4 &amp; "EC", Imperial_Incremental[#Headers], 0)), 0))</f>
        <v>0</v>
      </c>
      <c r="E20" s="30">
        <f t="shared" si="15"/>
        <v>0</v>
      </c>
      <c r="F20" s="30">
        <f t="shared" si="3"/>
        <v>0</v>
      </c>
      <c r="G20" s="30">
        <f>IF(B20=0,"",IF('Cumulative Volumes Imperial'!$AQ$17=FALSE,I20,H20))</f>
        <v>213.33333333333331</v>
      </c>
      <c r="H20" s="30">
        <f t="shared" si="4"/>
        <v>213.33333333333331</v>
      </c>
      <c r="I20" s="30">
        <f t="shared" si="5"/>
        <v>211.00078703703707</v>
      </c>
      <c r="J20" s="30">
        <f>IF(B20="","",IF('Cumulative Volumes Imperial'!$AQ$17=FALSE,L20,K20))</f>
        <v>213.33333333333331</v>
      </c>
      <c r="K20" s="30">
        <f t="shared" si="6"/>
        <v>213.33333333333331</v>
      </c>
      <c r="L20" s="30">
        <f t="shared" si="7"/>
        <v>211.00078703703707</v>
      </c>
      <c r="M20" s="30">
        <f>IF($E$8+45+$E$9&gt;989,"FALSE",IF(B20="","",IF('Cumulative Volumes Imperial'!$AQ$17=FALSE,O20,N20)))</f>
        <v>26791.384892799997</v>
      </c>
      <c r="N20" s="30">
        <f t="shared" si="8"/>
        <v>26791.384892799997</v>
      </c>
      <c r="O20" s="30">
        <f>IF(B20=0,"",IF('Cumulative Volumes Imperial'!$AQ$17=FALSE,(V20*$E$4)+(W20*$E$5),N20))</f>
        <v>26791.384892799997</v>
      </c>
      <c r="P20" s="30">
        <f>IF(B20=0,"",(((1/12)*'Imperial Data'!$AC$4*'Imperial Data'!$AC$5)-C20)*$H$6)</f>
        <v>1.9969708333333338</v>
      </c>
      <c r="Q20" s="30">
        <f t="shared" si="9"/>
        <v>199.69708333333338</v>
      </c>
      <c r="R20" s="30">
        <f>IF(B20=0,"",(((1/12)*'Imperial Data'!$AC$5*'Imperial Data'!$AC$7)-D20)*$H$6)</f>
        <v>1.1303703703703702</v>
      </c>
      <c r="S20" s="30">
        <f t="shared" si="10"/>
        <v>11.303703703703702</v>
      </c>
      <c r="T20" s="30">
        <f t="shared" si="0"/>
        <v>175.90200752000001</v>
      </c>
      <c r="U20" s="30">
        <f t="shared" si="1"/>
        <v>39.544073599999997</v>
      </c>
      <c r="V20" s="30">
        <f t="shared" si="11"/>
        <v>255.31401701200005</v>
      </c>
      <c r="W20" s="30">
        <f t="shared" si="12"/>
        <v>108.50422193777771</v>
      </c>
      <c r="X20" s="31">
        <f t="shared" si="2"/>
        <v>148.37215782977776</v>
      </c>
      <c r="Y20" s="30">
        <f t="shared" si="13"/>
        <v>106.25</v>
      </c>
    </row>
    <row r="21" spans="1:25" x14ac:dyDescent="0.2">
      <c r="A21" s="2">
        <v>8</v>
      </c>
      <c r="B21" s="34">
        <f t="shared" si="14"/>
        <v>74</v>
      </c>
      <c r="C21" s="30">
        <f>IF(B21=0,"",IF('Imperial Data'!AG10&gt;=1, INDEX(Imperial_Incremental[], MATCH('Imperial Data'!AG10, Imperial_Incremental[Height], 1), MATCH('Cumulative Volumes Imperial'!$F$4, Imperial_Incremental[#Headers], 0)), 0))</f>
        <v>0</v>
      </c>
      <c r="D21" s="30">
        <f>IF(B21=0,"",IF('Imperial Data'!AG10&gt;=1, INDEX(Imperial_Incremental[], MATCH('Imperial Data'!AG10, Imperial_Incremental[Height], 1), MATCH('Cumulative Volumes Imperial'!$F$4 &amp; "EC", Imperial_Incremental[#Headers], 0)), 0))</f>
        <v>0</v>
      </c>
      <c r="E21" s="30">
        <f t="shared" si="15"/>
        <v>0</v>
      </c>
      <c r="F21" s="30">
        <f t="shared" si="3"/>
        <v>0</v>
      </c>
      <c r="G21" s="30">
        <f>IF(B21=0,"",IF('Cumulative Volumes Imperial'!$AQ$17=FALSE,I21,H21))</f>
        <v>213.33333333333331</v>
      </c>
      <c r="H21" s="30">
        <f t="shared" si="4"/>
        <v>213.33333333333331</v>
      </c>
      <c r="I21" s="30">
        <f t="shared" si="5"/>
        <v>211.00078703703707</v>
      </c>
      <c r="J21" s="30">
        <f>IF(B21="","",IF('Cumulative Volumes Imperial'!$AQ$17=FALSE,L21,K21))</f>
        <v>213.33333333333331</v>
      </c>
      <c r="K21" s="30">
        <f t="shared" si="6"/>
        <v>213.33333333333331</v>
      </c>
      <c r="L21" s="30">
        <f t="shared" si="7"/>
        <v>211.00078703703707</v>
      </c>
      <c r="M21" s="30">
        <f>IF($E$8+45+$E$9&gt;989,"FALSE",IF(B21="","",IF('Cumulative Volumes Imperial'!$AQ$17=FALSE,O21,N21)))</f>
        <v>26578.051559466665</v>
      </c>
      <c r="N21" s="30">
        <f t="shared" si="8"/>
        <v>26578.051559466665</v>
      </c>
      <c r="O21" s="30">
        <f>IF(B21=0,"",IF('Cumulative Volumes Imperial'!$AQ$17=FALSE,(V21*$E$4)+(W21*$E$5),N21))</f>
        <v>26578.051559466665</v>
      </c>
      <c r="P21" s="30">
        <f>IF(B21=0,"",(((1/12)*'Imperial Data'!$AC$4*'Imperial Data'!$AC$5)-C21)*$H$6)</f>
        <v>1.9969708333333338</v>
      </c>
      <c r="Q21" s="30">
        <f t="shared" si="9"/>
        <v>199.69708333333338</v>
      </c>
      <c r="R21" s="30">
        <f>IF(B21=0,"",(((1/12)*'Imperial Data'!$AC$5*'Imperial Data'!$AC$7)-D21)*$H$6)</f>
        <v>1.1303703703703702</v>
      </c>
      <c r="S21" s="30">
        <f t="shared" si="10"/>
        <v>11.303703703703702</v>
      </c>
      <c r="T21" s="30">
        <f t="shared" si="0"/>
        <v>175.90200752000001</v>
      </c>
      <c r="U21" s="30">
        <f t="shared" si="1"/>
        <v>39.544073599999997</v>
      </c>
      <c r="V21" s="30">
        <f t="shared" si="11"/>
        <v>253.31704617866671</v>
      </c>
      <c r="W21" s="30">
        <f t="shared" si="12"/>
        <v>107.37385156740734</v>
      </c>
      <c r="X21" s="31">
        <f t="shared" si="2"/>
        <v>145.24481662607405</v>
      </c>
      <c r="Y21" s="30">
        <f t="shared" si="13"/>
        <v>106.16666666666667</v>
      </c>
    </row>
    <row r="22" spans="1:25" x14ac:dyDescent="0.2">
      <c r="A22" s="2">
        <v>9</v>
      </c>
      <c r="B22" s="34">
        <f t="shared" si="14"/>
        <v>73</v>
      </c>
      <c r="C22" s="30">
        <f>IF(B22=0,"",IF('Imperial Data'!AG11&gt;=1, INDEX(Imperial_Incremental[], MATCH('Imperial Data'!AG11, Imperial_Incremental[Height], 1), MATCH('Cumulative Volumes Imperial'!$F$4, Imperial_Incremental[#Headers], 0)), 0))</f>
        <v>0</v>
      </c>
      <c r="D22" s="30">
        <f>IF(B22=0,"",IF('Imperial Data'!AG11&gt;=1, INDEX(Imperial_Incremental[], MATCH('Imperial Data'!AG11, Imperial_Incremental[Height], 1), MATCH('Cumulative Volumes Imperial'!$F$4 &amp; "EC", Imperial_Incremental[#Headers], 0)), 0))</f>
        <v>0</v>
      </c>
      <c r="E22" s="30">
        <f t="shared" si="15"/>
        <v>0</v>
      </c>
      <c r="F22" s="30">
        <f t="shared" si="3"/>
        <v>0</v>
      </c>
      <c r="G22" s="30">
        <f>IF(B22=0,"",IF('Cumulative Volumes Imperial'!$AQ$17=FALSE,I22,H22))</f>
        <v>213.33333333333331</v>
      </c>
      <c r="H22" s="30">
        <f t="shared" si="4"/>
        <v>213.33333333333331</v>
      </c>
      <c r="I22" s="30">
        <f t="shared" si="5"/>
        <v>211.00078703703707</v>
      </c>
      <c r="J22" s="30">
        <f>IF(B22="","",IF('Cumulative Volumes Imperial'!$AQ$17=FALSE,L22,K22))</f>
        <v>213.33333333333331</v>
      </c>
      <c r="K22" s="30">
        <f t="shared" si="6"/>
        <v>213.33333333333331</v>
      </c>
      <c r="L22" s="30">
        <f t="shared" si="7"/>
        <v>211.00078703703707</v>
      </c>
      <c r="M22" s="30">
        <f>IF($E$8+45+$E$9&gt;989,"FALSE",IF(B22="","",IF('Cumulative Volumes Imperial'!$AQ$17=FALSE,O22,N22)))</f>
        <v>26364.718226133333</v>
      </c>
      <c r="N22" s="30">
        <f t="shared" si="8"/>
        <v>26364.718226133333</v>
      </c>
      <c r="O22" s="30">
        <f>IF(B22=0,"",IF('Cumulative Volumes Imperial'!$AQ$17=FALSE,(V22*$E$4)+(W22*$E$5),N22))</f>
        <v>26364.718226133333</v>
      </c>
      <c r="P22" s="30">
        <f>IF(B22=0,"",(((1/12)*'Imperial Data'!$AC$4*'Imperial Data'!$AC$5)-C22)*$H$6)</f>
        <v>1.9969708333333338</v>
      </c>
      <c r="Q22" s="30">
        <f t="shared" si="9"/>
        <v>199.69708333333338</v>
      </c>
      <c r="R22" s="30">
        <f>IF(B22=0,"",(((1/12)*'Imperial Data'!$AC$5*'Imperial Data'!$AC$7)-D22)*$H$6)</f>
        <v>1.1303703703703702</v>
      </c>
      <c r="S22" s="30">
        <f t="shared" si="10"/>
        <v>11.303703703703702</v>
      </c>
      <c r="T22" s="30">
        <f t="shared" si="0"/>
        <v>175.90200752000001</v>
      </c>
      <c r="U22" s="30">
        <f t="shared" si="1"/>
        <v>39.544073599999997</v>
      </c>
      <c r="V22" s="30">
        <f t="shared" si="11"/>
        <v>251.32007534533338</v>
      </c>
      <c r="W22" s="30">
        <f t="shared" si="12"/>
        <v>106.24348119703697</v>
      </c>
      <c r="X22" s="31">
        <f t="shared" si="2"/>
        <v>142.11747542237035</v>
      </c>
      <c r="Y22" s="30">
        <f t="shared" si="13"/>
        <v>106.08333333333333</v>
      </c>
    </row>
    <row r="23" spans="1:25" x14ac:dyDescent="0.2">
      <c r="A23" s="2">
        <v>10</v>
      </c>
      <c r="B23" s="34">
        <f t="shared" si="14"/>
        <v>72</v>
      </c>
      <c r="C23" s="30">
        <f>IF(B23=0,"",IF('Imperial Data'!AG12&gt;=1, INDEX(Imperial_Incremental[], MATCH('Imperial Data'!AG12, Imperial_Incremental[Height], 1), MATCH('Cumulative Volumes Imperial'!$F$4, Imperial_Incremental[#Headers], 0)), 0))</f>
        <v>0</v>
      </c>
      <c r="D23" s="30">
        <f>IF(B23=0,"",IF('Imperial Data'!AG12&gt;=1, INDEX(Imperial_Incremental[], MATCH('Imperial Data'!AG12, Imperial_Incremental[Height], 1), MATCH('Cumulative Volumes Imperial'!$F$4 &amp; "EC", Imperial_Incremental[#Headers], 0)), 0))</f>
        <v>0</v>
      </c>
      <c r="E23" s="30">
        <f t="shared" si="15"/>
        <v>0</v>
      </c>
      <c r="F23" s="30">
        <f t="shared" si="3"/>
        <v>0</v>
      </c>
      <c r="G23" s="30">
        <f>IF(B23=0,"",IF('Cumulative Volumes Imperial'!$AQ$17=FALSE,I23,H23))</f>
        <v>213.33333333333331</v>
      </c>
      <c r="H23" s="30">
        <f t="shared" si="4"/>
        <v>213.33333333333331</v>
      </c>
      <c r="I23" s="30">
        <f t="shared" si="5"/>
        <v>211.00078703703707</v>
      </c>
      <c r="J23" s="30">
        <f>IF(B23="","",IF('Cumulative Volumes Imperial'!$AQ$17=FALSE,L23,K23))</f>
        <v>213.33333333333331</v>
      </c>
      <c r="K23" s="30">
        <f t="shared" si="6"/>
        <v>213.33333333333331</v>
      </c>
      <c r="L23" s="30">
        <f t="shared" si="7"/>
        <v>211.00078703703707</v>
      </c>
      <c r="M23" s="30">
        <f>IF($E$8+45+$E$9&gt;989,"FALSE",IF(B23="","",IF('Cumulative Volumes Imperial'!$AQ$17=FALSE,O23,N23)))</f>
        <v>26151.384892800001</v>
      </c>
      <c r="N23" s="30">
        <f t="shared" si="8"/>
        <v>26151.384892800001</v>
      </c>
      <c r="O23" s="30">
        <f>IF(B23=0,"",IF('Cumulative Volumes Imperial'!$AQ$17=FALSE,(V23*$E$4)+(W23*$E$5),N23))</f>
        <v>26151.384892800001</v>
      </c>
      <c r="P23" s="30">
        <f>IF(B23=0,"",(((1/12)*'Imperial Data'!$AC$4*'Imperial Data'!$AC$5)-C23)*$H$6)</f>
        <v>1.9969708333333338</v>
      </c>
      <c r="Q23" s="30">
        <f t="shared" si="9"/>
        <v>199.69708333333338</v>
      </c>
      <c r="R23" s="30">
        <f>IF(B23=0,"",(((1/12)*'Imperial Data'!$AC$5*'Imperial Data'!$AC$7)-D23)*$H$6)</f>
        <v>1.1303703703703702</v>
      </c>
      <c r="S23" s="30">
        <f t="shared" si="10"/>
        <v>11.303703703703702</v>
      </c>
      <c r="T23" s="30">
        <f t="shared" si="0"/>
        <v>175.90200752000001</v>
      </c>
      <c r="U23" s="30">
        <f t="shared" si="1"/>
        <v>39.544073599999997</v>
      </c>
      <c r="V23" s="30">
        <f t="shared" si="11"/>
        <v>249.32310451200004</v>
      </c>
      <c r="W23" s="30">
        <f t="shared" si="12"/>
        <v>105.1131108266666</v>
      </c>
      <c r="X23" s="31">
        <f t="shared" si="2"/>
        <v>138.99013421866664</v>
      </c>
      <c r="Y23" s="30">
        <f t="shared" si="13"/>
        <v>106</v>
      </c>
    </row>
    <row r="24" spans="1:25" x14ac:dyDescent="0.2">
      <c r="A24" s="2">
        <v>11</v>
      </c>
      <c r="B24" s="34">
        <f t="shared" si="14"/>
        <v>71</v>
      </c>
      <c r="C24" s="30">
        <f>IF(B24=0,"",IF('Imperial Data'!AG13&gt;=1, INDEX(Imperial_Incremental[], MATCH('Imperial Data'!AG13, Imperial_Incremental[Height], 1), MATCH('Cumulative Volumes Imperial'!$F$4, Imperial_Incremental[#Headers], 0)), 0))</f>
        <v>0</v>
      </c>
      <c r="D24" s="30">
        <f>IF(B24=0,"",IF('Imperial Data'!AG13&gt;=1, INDEX(Imperial_Incremental[], MATCH('Imperial Data'!AG13, Imperial_Incremental[Height], 1), MATCH('Cumulative Volumes Imperial'!$F$4 &amp; "EC", Imperial_Incremental[#Headers], 0)), 0))</f>
        <v>0</v>
      </c>
      <c r="E24" s="30">
        <f t="shared" si="15"/>
        <v>0</v>
      </c>
      <c r="F24" s="30">
        <f t="shared" si="3"/>
        <v>0</v>
      </c>
      <c r="G24" s="30">
        <f>IF(B24=0,"",IF('Cumulative Volumes Imperial'!$AQ$17=FALSE,I24,H24))</f>
        <v>213.33333333333331</v>
      </c>
      <c r="H24" s="30">
        <f t="shared" si="4"/>
        <v>213.33333333333331</v>
      </c>
      <c r="I24" s="30">
        <f t="shared" si="5"/>
        <v>211.00078703703707</v>
      </c>
      <c r="J24" s="30">
        <f>IF(B24="","",IF('Cumulative Volumes Imperial'!$AQ$17=FALSE,L24,K24))</f>
        <v>213.33333333333331</v>
      </c>
      <c r="K24" s="30">
        <f t="shared" si="6"/>
        <v>213.33333333333331</v>
      </c>
      <c r="L24" s="30">
        <f t="shared" si="7"/>
        <v>211.00078703703707</v>
      </c>
      <c r="M24" s="30">
        <f>IF($E$8+45+$E$9&gt;989,"FALSE",IF(B24="","",IF('Cumulative Volumes Imperial'!$AQ$17=FALSE,O24,N24)))</f>
        <v>25938.051559466669</v>
      </c>
      <c r="N24" s="30">
        <f t="shared" si="8"/>
        <v>25938.051559466669</v>
      </c>
      <c r="O24" s="30">
        <f>IF(B24=0,"",IF('Cumulative Volumes Imperial'!$AQ$17=FALSE,(V24*$E$4)+(W24*$E$5),N24))</f>
        <v>25938.051559466669</v>
      </c>
      <c r="P24" s="30">
        <f>IF(B24=0,"",(((1/12)*'Imperial Data'!$AC$4*'Imperial Data'!$AC$5)-C24)*$H$6)</f>
        <v>1.9969708333333338</v>
      </c>
      <c r="Q24" s="30">
        <f t="shared" si="9"/>
        <v>199.69708333333338</v>
      </c>
      <c r="R24" s="30">
        <f>IF(B24=0,"",(((1/12)*'Imperial Data'!$AC$5*'Imperial Data'!$AC$7)-D24)*$H$6)</f>
        <v>1.1303703703703702</v>
      </c>
      <c r="S24" s="30">
        <f t="shared" si="10"/>
        <v>11.303703703703702</v>
      </c>
      <c r="T24" s="30">
        <f t="shared" si="0"/>
        <v>175.90200752000001</v>
      </c>
      <c r="U24" s="30">
        <f t="shared" si="1"/>
        <v>39.544073599999997</v>
      </c>
      <c r="V24" s="30">
        <f t="shared" si="11"/>
        <v>247.32613367866671</v>
      </c>
      <c r="W24" s="30">
        <f t="shared" si="12"/>
        <v>103.98274045629623</v>
      </c>
      <c r="X24" s="31">
        <f t="shared" si="2"/>
        <v>135.86279301496293</v>
      </c>
      <c r="Y24" s="30">
        <f t="shared" si="13"/>
        <v>105.91666666666667</v>
      </c>
    </row>
    <row r="25" spans="1:25" x14ac:dyDescent="0.2">
      <c r="A25" s="2">
        <v>12</v>
      </c>
      <c r="B25" s="34">
        <f t="shared" si="14"/>
        <v>70</v>
      </c>
      <c r="C25" s="30">
        <f>IF(B25=0,"",IF('Imperial Data'!AG14&gt;=1, INDEX(Imperial_Incremental[], MATCH('Imperial Data'!AG14, Imperial_Incremental[Height], 1), MATCH('Cumulative Volumes Imperial'!$F$4, Imperial_Incremental[#Headers], 0)), 0))</f>
        <v>0</v>
      </c>
      <c r="D25" s="30">
        <f>IF(B25=0,"",IF('Imperial Data'!AG14&gt;=1, INDEX(Imperial_Incremental[], MATCH('Imperial Data'!AG14, Imperial_Incremental[Height], 1), MATCH('Cumulative Volumes Imperial'!$F$4 &amp; "EC", Imperial_Incremental[#Headers], 0)), 0))</f>
        <v>0</v>
      </c>
      <c r="E25" s="30">
        <f t="shared" si="15"/>
        <v>0</v>
      </c>
      <c r="F25" s="30">
        <f t="shared" si="3"/>
        <v>0</v>
      </c>
      <c r="G25" s="30">
        <f>IF(B25=0,"",IF('Cumulative Volumes Imperial'!$AQ$17=FALSE,I25,H25))</f>
        <v>213.33333333333331</v>
      </c>
      <c r="H25" s="30">
        <f t="shared" si="4"/>
        <v>213.33333333333331</v>
      </c>
      <c r="I25" s="30">
        <f t="shared" si="5"/>
        <v>211.00078703703707</v>
      </c>
      <c r="J25" s="30">
        <f>IF(B25="","",IF('Cumulative Volumes Imperial'!$AQ$17=FALSE,L25,K25))</f>
        <v>213.33333333333331</v>
      </c>
      <c r="K25" s="30">
        <f t="shared" si="6"/>
        <v>213.33333333333331</v>
      </c>
      <c r="L25" s="30">
        <f t="shared" si="7"/>
        <v>211.00078703703707</v>
      </c>
      <c r="M25" s="30">
        <f>IF($E$8+45+$E$9&gt;989,"FALSE",IF(B25="","",IF('Cumulative Volumes Imperial'!$AQ$17=FALSE,O25,N25)))</f>
        <v>25724.718226133336</v>
      </c>
      <c r="N25" s="30">
        <f t="shared" si="8"/>
        <v>25724.718226133336</v>
      </c>
      <c r="O25" s="30">
        <f>IF(B25=0,"",IF('Cumulative Volumes Imperial'!$AQ$17=FALSE,(V25*$E$4)+(W25*$E$5),N25))</f>
        <v>25724.718226133336</v>
      </c>
      <c r="P25" s="30">
        <f>IF(B25=0,"",(((1/12)*'Imperial Data'!$AC$4*'Imperial Data'!$AC$5)-C25)*$H$6)</f>
        <v>1.9969708333333338</v>
      </c>
      <c r="Q25" s="30">
        <f t="shared" si="9"/>
        <v>199.69708333333338</v>
      </c>
      <c r="R25" s="30">
        <f>IF(B25=0,"",(((1/12)*'Imperial Data'!$AC$5*'Imperial Data'!$AC$7)-D25)*$H$6)</f>
        <v>1.1303703703703702</v>
      </c>
      <c r="S25" s="30">
        <f t="shared" si="10"/>
        <v>11.303703703703702</v>
      </c>
      <c r="T25" s="30">
        <f t="shared" si="0"/>
        <v>175.90200752000001</v>
      </c>
      <c r="U25" s="30">
        <f t="shared" si="1"/>
        <v>39.544073599999997</v>
      </c>
      <c r="V25" s="30">
        <f t="shared" si="11"/>
        <v>245.32916284533337</v>
      </c>
      <c r="W25" s="30">
        <f t="shared" si="12"/>
        <v>102.85237008592586</v>
      </c>
      <c r="X25" s="31">
        <f t="shared" si="2"/>
        <v>132.73545181125922</v>
      </c>
      <c r="Y25" s="30">
        <f t="shared" si="13"/>
        <v>105.83333333333333</v>
      </c>
    </row>
    <row r="26" spans="1:25" x14ac:dyDescent="0.2">
      <c r="A26" s="2">
        <v>13</v>
      </c>
      <c r="B26" s="34">
        <f t="shared" si="14"/>
        <v>69</v>
      </c>
      <c r="C26" s="30">
        <f>IF(B26=0,"",IF('Imperial Data'!AG15&gt;=1, INDEX(Imperial_Incremental[], MATCH('Imperial Data'!AG15, Imperial_Incremental[Height], 1), MATCH('Cumulative Volumes Imperial'!$F$4, Imperial_Incremental[#Headers], 0)), 0))</f>
        <v>5.9375960000011219E-2</v>
      </c>
      <c r="D26" s="30">
        <f>IF(B26=0,"",IF('Imperial Data'!AG15&gt;=1, INDEX(Imperial_Incremental[], MATCH('Imperial Data'!AG15, Imperial_Incremental[Height], 1), MATCH('Cumulative Volumes Imperial'!$F$4 &amp; "EC", Imperial_Incremental[#Headers], 0)), 0))</f>
        <v>1.3020879999999124E-2</v>
      </c>
      <c r="E26" s="30">
        <f>IF(B26=0,"",$E$4*C26)</f>
        <v>5.9375960000011219</v>
      </c>
      <c r="F26" s="30">
        <f t="shared" si="3"/>
        <v>0.13020879999999124</v>
      </c>
      <c r="G26" s="30">
        <f>IF(B26=0,"",IF('Cumulative Volumes Imperial'!$AQ$17=FALSE,I26,H26))</f>
        <v>210.90621141333287</v>
      </c>
      <c r="H26" s="30">
        <f t="shared" si="4"/>
        <v>210.90621141333287</v>
      </c>
      <c r="I26" s="30">
        <f t="shared" si="5"/>
        <v>208.5736651170366</v>
      </c>
      <c r="J26" s="30">
        <f>IF(B26="","",IF('Cumulative Volumes Imperial'!$AQ$17=FALSE,L26,K26))</f>
        <v>216.97401621333398</v>
      </c>
      <c r="K26" s="30">
        <f t="shared" si="6"/>
        <v>216.97401621333398</v>
      </c>
      <c r="L26" s="30">
        <f t="shared" si="7"/>
        <v>214.64146991703771</v>
      </c>
      <c r="M26" s="30">
        <f>IF($E$8+45+$E$9&gt;989,"FALSE",IF(B26="","",IF('Cumulative Volumes Imperial'!$AQ$17=FALSE,O26,N26)))</f>
        <v>25511.384892800004</v>
      </c>
      <c r="N26" s="30">
        <f t="shared" si="8"/>
        <v>25511.384892800004</v>
      </c>
      <c r="O26" s="30">
        <f>IF(B26=0,"",IF('Cumulative Volumes Imperial'!$AQ$17=FALSE,(V26*$E$4)+(W26*$E$5),N26))</f>
        <v>25511.384892800004</v>
      </c>
      <c r="P26" s="30">
        <f>IF(B26=0,"",(((1/12)*'Imperial Data'!$AC$4*'Imperial Data'!$AC$5)-C26)*$H$6)</f>
        <v>1.9732204493333292</v>
      </c>
      <c r="Q26" s="30">
        <f t="shared" si="9"/>
        <v>197.3220449333329</v>
      </c>
      <c r="R26" s="30">
        <f>IF(B26=0,"",(((1/12)*'Imperial Data'!$AC$5*'Imperial Data'!$AC$7)-D26)*$H$6)</f>
        <v>1.1251620183703706</v>
      </c>
      <c r="S26" s="30">
        <f t="shared" si="10"/>
        <v>11.251620183703706</v>
      </c>
      <c r="T26" s="30">
        <f t="shared" si="0"/>
        <v>175.90200752000001</v>
      </c>
      <c r="U26" s="30">
        <f t="shared" si="1"/>
        <v>39.544073599999997</v>
      </c>
      <c r="V26" s="30">
        <f t="shared" si="11"/>
        <v>243.33219201200004</v>
      </c>
      <c r="W26" s="30">
        <f t="shared" si="12"/>
        <v>101.72199971555548</v>
      </c>
      <c r="X26" s="31">
        <f t="shared" si="2"/>
        <v>129.60811060755552</v>
      </c>
      <c r="Y26" s="30">
        <f t="shared" si="13"/>
        <v>105.75</v>
      </c>
    </row>
    <row r="27" spans="1:25" x14ac:dyDescent="0.2">
      <c r="A27" s="2">
        <v>14</v>
      </c>
      <c r="B27" s="34">
        <f t="shared" si="14"/>
        <v>68</v>
      </c>
      <c r="C27" s="30">
        <f>IF(B27=0,"",IF('Imperial Data'!AG16&gt;=1, INDEX(Imperial_Incremental[], MATCH('Imperial Data'!AG16, Imperial_Incremental[Height], 1), MATCH('Cumulative Volumes Imperial'!$F$4, Imperial_Incremental[#Headers], 0)), 0))</f>
        <v>0.19017919000000916</v>
      </c>
      <c r="D27" s="30">
        <f>IF(B27=0,"",IF('Imperial Data'!AG16&gt;=1, INDEX(Imperial_Incremental[], MATCH('Imperial Data'!AG16, Imperial_Incremental[Height], 1), MATCH('Cumulative Volumes Imperial'!$F$4 &amp; "EC", Imperial_Incremental[#Headers], 0)), 0))</f>
        <v>3.3912879999995482E-2</v>
      </c>
      <c r="E27" s="30">
        <f t="shared" si="15"/>
        <v>19.017919000000916</v>
      </c>
      <c r="F27" s="30">
        <f t="shared" si="3"/>
        <v>0.33912879999995482</v>
      </c>
      <c r="G27" s="30">
        <f>IF(B27=0,"",IF('Cumulative Volumes Imperial'!$AQ$17=FALSE,I27,H27))</f>
        <v>205.59051421333299</v>
      </c>
      <c r="H27" s="30">
        <f t="shared" si="4"/>
        <v>205.59051421333299</v>
      </c>
      <c r="I27" s="30">
        <f t="shared" si="5"/>
        <v>203.25796791703672</v>
      </c>
      <c r="J27" s="30">
        <f>IF(B27="","",IF('Cumulative Volumes Imperial'!$AQ$17=FALSE,L27,K27))</f>
        <v>224.94756201333388</v>
      </c>
      <c r="K27" s="30">
        <f t="shared" si="6"/>
        <v>224.94756201333388</v>
      </c>
      <c r="L27" s="30">
        <f t="shared" si="7"/>
        <v>222.61501571703758</v>
      </c>
      <c r="M27" s="30">
        <f>IF($E$8+45+$E$9&gt;989,"FALSE",IF(B27="","",IF('Cumulative Volumes Imperial'!$AQ$17=FALSE,O27,N27)))</f>
        <v>25294.410876586669</v>
      </c>
      <c r="N27" s="30">
        <f t="shared" si="8"/>
        <v>25294.410876586669</v>
      </c>
      <c r="O27" s="30">
        <f>IF(B27=0,"",IF('Cumulative Volumes Imperial'!$AQ$17=FALSE,(V27*$E$4)+(W27*$E$5),N27))</f>
        <v>25294.410876586669</v>
      </c>
      <c r="P27" s="30">
        <f>IF(B27=0,"",(((1/12)*'Imperial Data'!$AC$4*'Imperial Data'!$AC$5)-C27)*$H$6)</f>
        <v>1.9208991573333301</v>
      </c>
      <c r="Q27" s="30">
        <f t="shared" si="9"/>
        <v>192.08991573333302</v>
      </c>
      <c r="R27" s="30">
        <f>IF(B27=0,"",(((1/12)*'Imperial Data'!$AC$5*'Imperial Data'!$AC$7)-D27)*$H$6)</f>
        <v>1.1168052183703721</v>
      </c>
      <c r="S27" s="30">
        <f t="shared" si="10"/>
        <v>11.16805218370372</v>
      </c>
      <c r="T27" s="30">
        <f t="shared" si="0"/>
        <v>175.84263156</v>
      </c>
      <c r="U27" s="30">
        <f t="shared" si="1"/>
        <v>39.531052719999998</v>
      </c>
      <c r="V27" s="30">
        <f t="shared" si="11"/>
        <v>241.2995956026667</v>
      </c>
      <c r="W27" s="30">
        <f t="shared" si="12"/>
        <v>100.58381681718511</v>
      </c>
      <c r="X27" s="31">
        <f t="shared" si="2"/>
        <v>126.50972813985183</v>
      </c>
      <c r="Y27" s="30">
        <f t="shared" si="13"/>
        <v>105.66666666666667</v>
      </c>
    </row>
    <row r="28" spans="1:25" x14ac:dyDescent="0.2">
      <c r="A28" s="2">
        <v>15</v>
      </c>
      <c r="B28" s="34">
        <f t="shared" si="14"/>
        <v>67</v>
      </c>
      <c r="C28" s="30">
        <f>IF(B28=0,"",IF('Imperial Data'!AG17&gt;=1, INDEX(Imperial_Incremental[], MATCH('Imperial Data'!AG17, Imperial_Incremental[Height], 1), MATCH('Cumulative Volumes Imperial'!$F$4, Imperial_Incremental[#Headers], 0)), 0))</f>
        <v>0.27517807999998922</v>
      </c>
      <c r="D28" s="30">
        <f>IF(B28=0,"",IF('Imperial Data'!AG17&gt;=1, INDEX(Imperial_Incremental[], MATCH('Imperial Data'!AG17, Imperial_Incremental[Height], 1), MATCH('Cumulative Volumes Imperial'!$F$4 &amp; "EC", Imperial_Incremental[#Headers], 0)), 0))</f>
        <v>5.1775609999999972E-2</v>
      </c>
      <c r="E28" s="30">
        <f t="shared" si="15"/>
        <v>27.517807999998922</v>
      </c>
      <c r="F28" s="30">
        <f t="shared" si="3"/>
        <v>0.51775609999999972</v>
      </c>
      <c r="G28" s="30">
        <f>IF(B28=0,"",IF('Cumulative Volumes Imperial'!$AQ$17=FALSE,I28,H28))</f>
        <v>202.11910769333375</v>
      </c>
      <c r="H28" s="30">
        <f t="shared" si="4"/>
        <v>202.11910769333375</v>
      </c>
      <c r="I28" s="30">
        <f t="shared" si="5"/>
        <v>199.7865613970375</v>
      </c>
      <c r="J28" s="30">
        <f>IF(B28="","",IF('Cumulative Volumes Imperial'!$AQ$17=FALSE,L28,K28))</f>
        <v>230.15467179333268</v>
      </c>
      <c r="K28" s="30">
        <f t="shared" si="6"/>
        <v>230.15467179333268</v>
      </c>
      <c r="L28" s="30">
        <f t="shared" si="7"/>
        <v>227.82212549703644</v>
      </c>
      <c r="M28" s="30">
        <f>IF($E$8+45+$E$9&gt;989,"FALSE",IF(B28="","",IF('Cumulative Volumes Imperial'!$AQ$17=FALSE,O28,N28)))</f>
        <v>25069.463314573335</v>
      </c>
      <c r="N28" s="30">
        <f t="shared" si="8"/>
        <v>25069.463314573335</v>
      </c>
      <c r="O28" s="30">
        <f>IF(B28=0,"",IF('Cumulative Volumes Imperial'!$AQ$17=FALSE,(V28*$E$4)+(W28*$E$5),N28))</f>
        <v>25069.463314573335</v>
      </c>
      <c r="P28" s="30">
        <f>IF(B28=0,"",(((1/12)*'Imperial Data'!$AC$4*'Imperial Data'!$AC$5)-C28)*$H$6)</f>
        <v>1.8868996013333381</v>
      </c>
      <c r="Q28" s="30">
        <f t="shared" si="9"/>
        <v>188.68996013333381</v>
      </c>
      <c r="R28" s="30">
        <f>IF(B28=0,"",(((1/12)*'Imperial Data'!$AC$5*'Imperial Data'!$AC$7)-D28)*$H$6)</f>
        <v>1.1096601263703703</v>
      </c>
      <c r="S28" s="30">
        <f t="shared" si="10"/>
        <v>11.096601263703702</v>
      </c>
      <c r="T28" s="30">
        <f t="shared" si="0"/>
        <v>175.65245236999999</v>
      </c>
      <c r="U28" s="30">
        <f t="shared" si="1"/>
        <v>39.497139840000003</v>
      </c>
      <c r="V28" s="30">
        <f t="shared" si="11"/>
        <v>239.18851725533335</v>
      </c>
      <c r="W28" s="30">
        <f t="shared" si="12"/>
        <v>99.433098718814747</v>
      </c>
      <c r="X28" s="31">
        <f t="shared" si="2"/>
        <v>123.47202376414813</v>
      </c>
      <c r="Y28" s="30">
        <f t="shared" si="13"/>
        <v>105.58333333333333</v>
      </c>
    </row>
    <row r="29" spans="1:25" x14ac:dyDescent="0.2">
      <c r="A29" s="2">
        <v>16</v>
      </c>
      <c r="B29" s="34">
        <f t="shared" si="14"/>
        <v>66</v>
      </c>
      <c r="C29" s="30">
        <f>IF(B29=0,"",IF('Imperial Data'!AG18&gt;=1, INDEX(Imperial_Incremental[], MATCH('Imperial Data'!AG18, Imperial_Incremental[Height], 1), MATCH('Cumulative Volumes Imperial'!$F$4, Imperial_Incremental[#Headers], 0)), 0))</f>
        <v>0.35725088000000937</v>
      </c>
      <c r="D29" s="30">
        <f>IF(B29=0,"",IF('Imperial Data'!AG18&gt;=1, INDEX(Imperial_Incremental[], MATCH('Imperial Data'!AG18, Imperial_Incremental[Height], 1), MATCH('Cumulative Volumes Imperial'!$F$4 &amp; "EC", Imperial_Incremental[#Headers], 0)), 0))</f>
        <v>6.6000030000004983E-2</v>
      </c>
      <c r="E29" s="30">
        <f t="shared" si="15"/>
        <v>35.725088000000937</v>
      </c>
      <c r="F29" s="30">
        <f t="shared" si="3"/>
        <v>0.66000030000004983</v>
      </c>
      <c r="G29" s="30">
        <f>IF(B29=0,"",IF('Cumulative Volumes Imperial'!$AQ$17=FALSE,I29,H29))</f>
        <v>198.77929801333292</v>
      </c>
      <c r="H29" s="30">
        <f t="shared" si="4"/>
        <v>198.77929801333292</v>
      </c>
      <c r="I29" s="30">
        <f t="shared" si="5"/>
        <v>196.44675171703668</v>
      </c>
      <c r="J29" s="30">
        <f>IF(B29="","",IF('Cumulative Volumes Imperial'!$AQ$17=FALSE,L29,K29))</f>
        <v>235.16438631333392</v>
      </c>
      <c r="K29" s="30">
        <f t="shared" si="6"/>
        <v>235.16438631333392</v>
      </c>
      <c r="L29" s="30">
        <f t="shared" si="7"/>
        <v>232.83184001703768</v>
      </c>
      <c r="M29" s="30">
        <f>IF($E$8+45+$E$9&gt;989,"FALSE",IF(B29="","",IF('Cumulative Volumes Imperial'!$AQ$17=FALSE,O29,N29)))</f>
        <v>24839.308642780001</v>
      </c>
      <c r="N29" s="30">
        <f t="shared" si="8"/>
        <v>24839.308642780001</v>
      </c>
      <c r="O29" s="30">
        <f>IF(B29=0,"",IF('Cumulative Volumes Imperial'!$AQ$17=FALSE,(V29*$E$4)+(W29*$E$5),N29))</f>
        <v>24839.308642780001</v>
      </c>
      <c r="P29" s="30">
        <f>IF(B29=0,"",(((1/12)*'Imperial Data'!$AC$4*'Imperial Data'!$AC$5)-C29)*$H$6)</f>
        <v>1.85407048133333</v>
      </c>
      <c r="Q29" s="30">
        <f t="shared" si="9"/>
        <v>185.40704813333301</v>
      </c>
      <c r="R29" s="30">
        <f>IF(B29=0,"",(((1/12)*'Imperial Data'!$AC$5*'Imperial Data'!$AC$7)-D29)*$H$6)</f>
        <v>1.1039703583703682</v>
      </c>
      <c r="S29" s="30">
        <f t="shared" si="10"/>
        <v>11.039703583703682</v>
      </c>
      <c r="T29" s="30">
        <f t="shared" si="0"/>
        <v>175.37727429</v>
      </c>
      <c r="U29" s="30">
        <f t="shared" si="1"/>
        <v>39.445364230000003</v>
      </c>
      <c r="V29" s="30">
        <f t="shared" si="11"/>
        <v>237.02643957400002</v>
      </c>
      <c r="W29" s="30">
        <f t="shared" si="12"/>
        <v>98.271662982444383</v>
      </c>
      <c r="X29" s="31">
        <f t="shared" si="2"/>
        <v>120.47546403644442</v>
      </c>
      <c r="Y29" s="30">
        <f t="shared" si="13"/>
        <v>105.5</v>
      </c>
    </row>
    <row r="30" spans="1:25" x14ac:dyDescent="0.2">
      <c r="A30" s="2">
        <v>17</v>
      </c>
      <c r="B30" s="34">
        <f t="shared" si="14"/>
        <v>65</v>
      </c>
      <c r="C30" s="30">
        <f>IF(B30=0,"",IF('Imperial Data'!AG19&gt;=1, INDEX(Imperial_Incremental[], MATCH('Imperial Data'!AG19, Imperial_Incremental[Height], 1), MATCH('Cumulative Volumes Imperial'!$F$4, Imperial_Incremental[#Headers], 0)), 0))</f>
        <v>0.45839793999999756</v>
      </c>
      <c r="D30" s="30">
        <f>IF(B30=0,"",IF('Imperial Data'!AG19&gt;=1, INDEX(Imperial_Incremental[], MATCH('Imperial Data'!AG19, Imperial_Incremental[Height], 1), MATCH('Cumulative Volumes Imperial'!$F$4 &amp; "EC", Imperial_Incremental[#Headers], 0)), 0))</f>
        <v>8.3070579999997562E-2</v>
      </c>
      <c r="E30" s="30">
        <f t="shared" si="15"/>
        <v>45.839793999999756</v>
      </c>
      <c r="F30" s="30">
        <f>IF(B30=0,"",$E$5*D30)</f>
        <v>0.83070579999997562</v>
      </c>
      <c r="G30" s="30">
        <f>IF(B30=0,"",IF('Cumulative Volumes Imperial'!$AQ$17=FALSE,I30,H30))</f>
        <v>194.66513341333342</v>
      </c>
      <c r="H30" s="30">
        <f t="shared" si="4"/>
        <v>194.66513341333342</v>
      </c>
      <c r="I30" s="30">
        <f t="shared" si="5"/>
        <v>192.33258711703718</v>
      </c>
      <c r="J30" s="30">
        <f>IF(B30="","",IF('Cumulative Volumes Imperial'!$AQ$17=FALSE,L30,K30))</f>
        <v>241.33563321333315</v>
      </c>
      <c r="K30" s="30">
        <f t="shared" si="6"/>
        <v>241.33563321333315</v>
      </c>
      <c r="L30" s="30">
        <f t="shared" si="7"/>
        <v>239.00308691703691</v>
      </c>
      <c r="M30" s="30">
        <f>IF($E$8+45+$E$9&gt;989,"FALSE",IF(B30="","",IF('Cumulative Volumes Imperial'!$AQ$17=FALSE,O30,N30)))</f>
        <v>24604.144256466669</v>
      </c>
      <c r="N30" s="30">
        <f t="shared" si="8"/>
        <v>24604.144256466669</v>
      </c>
      <c r="O30" s="30">
        <f>IF(B30=0,"",IF('Cumulative Volumes Imperial'!$AQ$17=FALSE,(V30*$E$4)+(W30*$E$5),N30))</f>
        <v>24604.144256466669</v>
      </c>
      <c r="P30" s="30">
        <f>IF(B30=0,"",(((1/12)*'Imperial Data'!$AC$4*'Imperial Data'!$AC$5)-C30)*$H$6)</f>
        <v>1.8136116573333347</v>
      </c>
      <c r="Q30" s="30">
        <f t="shared" si="9"/>
        <v>181.36116573333348</v>
      </c>
      <c r="R30" s="30">
        <f>IF(B30=0,"",(((1/12)*'Imperial Data'!$AC$5*'Imperial Data'!$AC$7)-D30)*$H$6)</f>
        <v>1.0971421383703712</v>
      </c>
      <c r="S30" s="30">
        <f t="shared" si="10"/>
        <v>10.971421383703712</v>
      </c>
      <c r="T30" s="30">
        <f t="shared" si="0"/>
        <v>175.02002340999999</v>
      </c>
      <c r="U30" s="30">
        <f t="shared" si="1"/>
        <v>39.379364199999998</v>
      </c>
      <c r="V30" s="30">
        <f t="shared" si="11"/>
        <v>234.81511821266668</v>
      </c>
      <c r="W30" s="30">
        <f t="shared" si="12"/>
        <v>97.101692594074009</v>
      </c>
      <c r="X30" s="31">
        <f t="shared" si="2"/>
        <v>117.51742319674074</v>
      </c>
      <c r="Y30" s="30">
        <f t="shared" si="13"/>
        <v>105.41666666666667</v>
      </c>
    </row>
    <row r="31" spans="1:25" x14ac:dyDescent="0.2">
      <c r="A31" s="2">
        <v>18</v>
      </c>
      <c r="B31" s="34">
        <f t="shared" si="14"/>
        <v>64</v>
      </c>
      <c r="C31" s="30">
        <f>IF(B31=0,"",IF('Imperial Data'!AG20&gt;=1, INDEX(Imperial_Incremental[], MATCH('Imperial Data'!AG20, Imperial_Incremental[Height], 1), MATCH('Cumulative Volumes Imperial'!$F$4, Imperial_Incremental[#Headers], 0)), 0))</f>
        <v>0.74163876000000073</v>
      </c>
      <c r="D31" s="30">
        <f>IF(B31=0,"",IF('Imperial Data'!AG20&gt;=1, INDEX(Imperial_Incremental[], MATCH('Imperial Data'!AG20, Imperial_Incremental[Height], 1), MATCH('Cumulative Volumes Imperial'!$F$4 &amp; "EC", Imperial_Incremental[#Headers], 0)), 0))</f>
        <v>0.10533277999999768</v>
      </c>
      <c r="E31" s="30">
        <f t="shared" si="15"/>
        <v>74.163876000000073</v>
      </c>
      <c r="F31" s="30">
        <f t="shared" si="3"/>
        <v>1.0533277999999768</v>
      </c>
      <c r="G31" s="30">
        <f>IF(B31=0,"",IF('Cumulative Volumes Imperial'!$AQ$17=FALSE,I31,H31))</f>
        <v>183.24645181333329</v>
      </c>
      <c r="H31" s="30">
        <f t="shared" si="4"/>
        <v>183.24645181333329</v>
      </c>
      <c r="I31" s="30">
        <f t="shared" si="5"/>
        <v>180.91390551703705</v>
      </c>
      <c r="J31" s="30">
        <f>IF(B31="","",IF('Cumulative Volumes Imperial'!$AQ$17=FALSE,L31,K31))</f>
        <v>258.46365561333334</v>
      </c>
      <c r="K31" s="30">
        <f t="shared" si="6"/>
        <v>258.46365561333334</v>
      </c>
      <c r="L31" s="30">
        <f t="shared" si="7"/>
        <v>256.1311093170371</v>
      </c>
      <c r="M31" s="30">
        <f>IF($E$8+45+$E$9&gt;989,"FALSE",IF(B31="","",IF('Cumulative Volumes Imperial'!$AQ$17=FALSE,O31,N31)))</f>
        <v>24362.808623253335</v>
      </c>
      <c r="N31" s="30">
        <f t="shared" si="8"/>
        <v>24362.808623253335</v>
      </c>
      <c r="O31" s="30">
        <f>IF(B31=0,"",IF('Cumulative Volumes Imperial'!$AQ$17=FALSE,(V31*$E$4)+(W31*$E$5),N31))</f>
        <v>24362.808623253335</v>
      </c>
      <c r="P31" s="30">
        <f>IF(B31=0,"",(((1/12)*'Imperial Data'!$AC$4*'Imperial Data'!$AC$5)-C31)*$H$6)</f>
        <v>1.7003153293333335</v>
      </c>
      <c r="Q31" s="30">
        <f t="shared" si="9"/>
        <v>170.03153293333335</v>
      </c>
      <c r="R31" s="30">
        <f>IF(B31=0,"",(((1/12)*'Imperial Data'!$AC$5*'Imperial Data'!$AC$7)-D31)*$H$6)</f>
        <v>1.0882372583703712</v>
      </c>
      <c r="S31" s="30">
        <f t="shared" si="10"/>
        <v>10.882372583703713</v>
      </c>
      <c r="T31" s="30">
        <f t="shared" si="0"/>
        <v>174.56162547</v>
      </c>
      <c r="U31" s="30">
        <f t="shared" si="1"/>
        <v>39.29629362</v>
      </c>
      <c r="V31" s="30">
        <f t="shared" si="11"/>
        <v>232.54310861533335</v>
      </c>
      <c r="W31" s="30">
        <f t="shared" si="12"/>
        <v>95.921479875703639</v>
      </c>
      <c r="X31" s="31">
        <f t="shared" si="2"/>
        <v>114.60666940103702</v>
      </c>
      <c r="Y31" s="30">
        <f t="shared" si="13"/>
        <v>105.33333333333333</v>
      </c>
    </row>
    <row r="32" spans="1:25" x14ac:dyDescent="0.2">
      <c r="A32" s="2">
        <v>19</v>
      </c>
      <c r="B32" s="34">
        <f t="shared" si="14"/>
        <v>63</v>
      </c>
      <c r="C32" s="30">
        <f>IF(B32=0,"",IF('Imperial Data'!AG21&gt;=1, INDEX(Imperial_Incremental[], MATCH('Imperial Data'!AG21, Imperial_Incremental[Height], 1), MATCH('Cumulative Volumes Imperial'!$F$4, Imperial_Incremental[#Headers], 0)), 0))</f>
        <v>1.096373629999988</v>
      </c>
      <c r="D32" s="30">
        <f>IF(B32=0,"",IF('Imperial Data'!AG21&gt;=1, INDEX(Imperial_Incremental[], MATCH('Imperial Data'!AG21, Imperial_Incremental[Height], 1), MATCH('Cumulative Volumes Imperial'!$F$4 &amp; "EC", Imperial_Incremental[#Headers], 0)), 0))</f>
        <v>0.13240399000000025</v>
      </c>
      <c r="E32" s="30">
        <f t="shared" si="15"/>
        <v>109.6373629999988</v>
      </c>
      <c r="F32" s="30">
        <f t="shared" si="3"/>
        <v>1.3240399000000025</v>
      </c>
      <c r="G32" s="30">
        <f>IF(B32=0,"",IF('Cumulative Volumes Imperial'!$AQ$17=FALSE,I32,H32))</f>
        <v>168.94877217333379</v>
      </c>
      <c r="H32" s="30">
        <f t="shared" si="4"/>
        <v>168.94877217333379</v>
      </c>
      <c r="I32" s="30">
        <f t="shared" si="5"/>
        <v>166.61622587703755</v>
      </c>
      <c r="J32" s="30">
        <f>IF(B32="","",IF('Cumulative Volumes Imperial'!$AQ$17=FALSE,L32,K32))</f>
        <v>279.9101750733326</v>
      </c>
      <c r="K32" s="30">
        <f t="shared" si="6"/>
        <v>279.9101750733326</v>
      </c>
      <c r="L32" s="30">
        <f t="shared" si="7"/>
        <v>277.57762877703635</v>
      </c>
      <c r="M32" s="30">
        <f>IF($E$8+45+$E$9&gt;989,"FALSE",IF(B32="","",IF('Cumulative Volumes Imperial'!$AQ$17=FALSE,O32,N32)))</f>
        <v>24104.344967640001</v>
      </c>
      <c r="N32" s="30">
        <f t="shared" si="8"/>
        <v>24104.344967640001</v>
      </c>
      <c r="O32" s="30">
        <f>IF(B32=0,"",IF('Cumulative Volumes Imperial'!$AQ$17=FALSE,(V32*$E$4)+(W32*$E$5),N32))</f>
        <v>24104.344967640001</v>
      </c>
      <c r="P32" s="30">
        <f>IF(B32=0,"",(((1/12)*'Imperial Data'!$AC$4*'Imperial Data'!$AC$5)-C32)*$H$6)</f>
        <v>1.5584213813333385</v>
      </c>
      <c r="Q32" s="30">
        <f t="shared" si="9"/>
        <v>155.84213813333386</v>
      </c>
      <c r="R32" s="30">
        <f>IF(B32=0,"",(((1/12)*'Imperial Data'!$AC$5*'Imperial Data'!$AC$7)-D32)*$H$6)</f>
        <v>1.0774087743703702</v>
      </c>
      <c r="S32" s="30">
        <f t="shared" si="10"/>
        <v>10.774087743703703</v>
      </c>
      <c r="T32" s="30">
        <f t="shared" si="0"/>
        <v>173.81998670999999</v>
      </c>
      <c r="U32" s="30">
        <f t="shared" si="1"/>
        <v>39.190960840000002</v>
      </c>
      <c r="V32" s="30">
        <f t="shared" si="11"/>
        <v>230.10115452600002</v>
      </c>
      <c r="W32" s="30">
        <f t="shared" si="12"/>
        <v>94.727909837333272</v>
      </c>
      <c r="X32" s="31">
        <f t="shared" si="2"/>
        <v>111.81811681333332</v>
      </c>
      <c r="Y32" s="30">
        <f t="shared" si="13"/>
        <v>105.25</v>
      </c>
    </row>
    <row r="33" spans="1:25" x14ac:dyDescent="0.2">
      <c r="A33" s="2">
        <v>20</v>
      </c>
      <c r="B33" s="34">
        <f t="shared" si="14"/>
        <v>62</v>
      </c>
      <c r="C33" s="30">
        <f>IF(B33=0,"",IF('Imperial Data'!AG22&gt;=1, INDEX(Imperial_Incremental[], MATCH('Imperial Data'!AG22, Imperial_Incremental[Height], 1), MATCH('Cumulative Volumes Imperial'!$F$4, Imperial_Incremental[#Headers], 0)), 0))</f>
        <v>1.3184840400000155</v>
      </c>
      <c r="D33" s="30">
        <f>IF(B33=0,"",IF('Imperial Data'!AG22&gt;=1, INDEX(Imperial_Incremental[], MATCH('Imperial Data'!AG22, Imperial_Incremental[Height], 1), MATCH('Cumulative Volumes Imperial'!$F$4 &amp; "EC", Imperial_Incremental[#Headers], 0)), 0))</f>
        <v>0.16099102000000443</v>
      </c>
      <c r="E33" s="30">
        <f t="shared" si="15"/>
        <v>131.84840400000155</v>
      </c>
      <c r="F33" s="30">
        <f t="shared" si="3"/>
        <v>1.6099102000000443</v>
      </c>
      <c r="G33" s="30">
        <f>IF(B33=0,"",IF('Cumulative Volumes Imperial'!$AQ$17=FALSE,I33,H33))</f>
        <v>159.95000765333268</v>
      </c>
      <c r="H33" s="30">
        <f t="shared" si="4"/>
        <v>159.95000765333268</v>
      </c>
      <c r="I33" s="30">
        <f t="shared" si="5"/>
        <v>157.6174613570364</v>
      </c>
      <c r="J33" s="30">
        <f>IF(B33="","",IF('Cumulative Volumes Imperial'!$AQ$17=FALSE,L33,K33))</f>
        <v>293.40832185333426</v>
      </c>
      <c r="K33" s="30">
        <f t="shared" si="6"/>
        <v>293.40832185333426</v>
      </c>
      <c r="L33" s="30">
        <f t="shared" si="7"/>
        <v>291.07577555703801</v>
      </c>
      <c r="M33" s="30">
        <f>IF($E$8+45+$E$9&gt;989,"FALSE",IF(B33="","",IF('Cumulative Volumes Imperial'!$AQ$17=FALSE,O33,N33)))</f>
        <v>23824.43479256667</v>
      </c>
      <c r="N33" s="30">
        <f t="shared" si="8"/>
        <v>23824.43479256667</v>
      </c>
      <c r="O33" s="30">
        <f>IF(B33=0,"",IF('Cumulative Volumes Imperial'!$AQ$17=FALSE,(V33*$E$4)+(W33*$E$5),N33))</f>
        <v>23824.43479256667</v>
      </c>
      <c r="P33" s="30">
        <f>IF(B33=0,"",(((1/12)*'Imperial Data'!$AC$4*'Imperial Data'!$AC$5)-C33)*$H$6)</f>
        <v>1.4695772173333275</v>
      </c>
      <c r="Q33" s="30">
        <f t="shared" si="9"/>
        <v>146.95772173333273</v>
      </c>
      <c r="R33" s="30">
        <f>IF(B33=0,"",(((1/12)*'Imperial Data'!$AC$5*'Imperial Data'!$AC$7)-D33)*$H$6)</f>
        <v>1.0659739623703686</v>
      </c>
      <c r="S33" s="30">
        <f t="shared" si="10"/>
        <v>10.659739623703686</v>
      </c>
      <c r="T33" s="30">
        <f t="shared" si="0"/>
        <v>172.72361308000001</v>
      </c>
      <c r="U33" s="30">
        <f t="shared" si="1"/>
        <v>39.058556850000002</v>
      </c>
      <c r="V33" s="30">
        <f t="shared" si="11"/>
        <v>227.44635951466668</v>
      </c>
      <c r="W33" s="30">
        <f t="shared" si="12"/>
        <v>93.518097072962902</v>
      </c>
      <c r="X33" s="31">
        <f t="shared" si="2"/>
        <v>109.18228665762962</v>
      </c>
      <c r="Y33" s="30">
        <f t="shared" si="13"/>
        <v>105.16666666666667</v>
      </c>
    </row>
    <row r="34" spans="1:25" x14ac:dyDescent="0.2">
      <c r="A34" s="2">
        <v>21</v>
      </c>
      <c r="B34" s="34">
        <f t="shared" si="14"/>
        <v>61</v>
      </c>
      <c r="C34" s="30">
        <f>IF(B34=0,"",IF('Imperial Data'!AG23&gt;=1, INDEX(Imperial_Incremental[], MATCH('Imperial Data'!AG23, Imperial_Incremental[Height], 1), MATCH('Cumulative Volumes Imperial'!$F$4, Imperial_Incremental[#Headers], 0)), 0))</f>
        <v>1.4982317199999784</v>
      </c>
      <c r="D34" s="30">
        <f>IF(B34=0,"",IF('Imperial Data'!AG23&gt;=1, INDEX(Imperial_Incremental[], MATCH('Imperial Data'!AG23, Imperial_Incremental[Height], 1), MATCH('Cumulative Volumes Imperial'!$F$4 &amp; "EC", Imperial_Incremental[#Headers], 0)), 0))</f>
        <v>0.18868820999999514</v>
      </c>
      <c r="E34" s="30">
        <f t="shared" si="15"/>
        <v>149.82317199999784</v>
      </c>
      <c r="F34" s="30">
        <f t="shared" si="3"/>
        <v>1.8868820999999514</v>
      </c>
      <c r="G34" s="30">
        <f>IF(B34=0,"",IF('Cumulative Volumes Imperial'!$AQ$17=FALSE,I34,H34))</f>
        <v>152.64931169333417</v>
      </c>
      <c r="H34" s="30">
        <f t="shared" si="4"/>
        <v>152.64931169333417</v>
      </c>
      <c r="I34" s="30">
        <f t="shared" si="5"/>
        <v>150.31676539703795</v>
      </c>
      <c r="J34" s="30">
        <f>IF(B34="","",IF('Cumulative Volumes Imperial'!$AQ$17=FALSE,L34,K34))</f>
        <v>304.35936579333196</v>
      </c>
      <c r="K34" s="30">
        <f t="shared" si="6"/>
        <v>304.35936579333196</v>
      </c>
      <c r="L34" s="30">
        <f t="shared" si="7"/>
        <v>302.02681949703572</v>
      </c>
      <c r="M34" s="30">
        <f>IF($E$8+45+$E$9&gt;989,"FALSE",IF(B34="","",IF('Cumulative Volumes Imperial'!$AQ$17=FALSE,O34,N34)))</f>
        <v>23531.026470713336</v>
      </c>
      <c r="N34" s="30">
        <f t="shared" si="8"/>
        <v>23531.026470713336</v>
      </c>
      <c r="O34" s="30">
        <f>IF(B34=0,"",IF('Cumulative Volumes Imperial'!$AQ$17=FALSE,(V34*$E$4)+(W34*$E$5),N34))</f>
        <v>23531.026470713336</v>
      </c>
      <c r="P34" s="30">
        <f>IF(B34=0,"",(((1/12)*'Imperial Data'!$AC$4*'Imperial Data'!$AC$5)-C34)*$H$6)</f>
        <v>1.3976781453333424</v>
      </c>
      <c r="Q34" s="30">
        <f t="shared" si="9"/>
        <v>139.76781453333425</v>
      </c>
      <c r="R34" s="30">
        <f>IF(B34=0,"",(((1/12)*'Imperial Data'!$AC$5*'Imperial Data'!$AC$7)-D34)*$H$6)</f>
        <v>1.0548950863703721</v>
      </c>
      <c r="S34" s="30">
        <f t="shared" si="10"/>
        <v>10.548950863703721</v>
      </c>
      <c r="T34" s="30">
        <f t="shared" si="0"/>
        <v>171.40512903999999</v>
      </c>
      <c r="U34" s="30">
        <f t="shared" si="1"/>
        <v>38.897565829999998</v>
      </c>
      <c r="V34" s="30">
        <f t="shared" si="11"/>
        <v>224.65829825733334</v>
      </c>
      <c r="W34" s="30">
        <f t="shared" si="12"/>
        <v>92.291132090592541</v>
      </c>
      <c r="X34" s="31">
        <f t="shared" si="2"/>
        <v>106.64673547792593</v>
      </c>
      <c r="Y34" s="30">
        <f t="shared" si="13"/>
        <v>105.08333333333333</v>
      </c>
    </row>
    <row r="35" spans="1:25" x14ac:dyDescent="0.2">
      <c r="A35" s="2">
        <v>22</v>
      </c>
      <c r="B35" s="34">
        <f t="shared" si="14"/>
        <v>60</v>
      </c>
      <c r="C35" s="30">
        <f>IF(B35=0,"",IF('Imperial Data'!AG24&gt;=1, INDEX(Imperial_Incremental[], MATCH('Imperial Data'!AG24, Imperial_Incremental[Height], 1), MATCH('Cumulative Volumes Imperial'!$F$4, Imperial_Incremental[#Headers], 0)), 0))</f>
        <v>1.654489830000017</v>
      </c>
      <c r="D35" s="30">
        <f>IF(B35=0,"",IF('Imperial Data'!AG24&gt;=1, INDEX(Imperial_Incremental[], MATCH('Imperial Data'!AG24, Imperial_Incremental[Height], 1), MATCH('Cumulative Volumes Imperial'!$F$4 &amp; "EC", Imperial_Incremental[#Headers], 0)), 0))</f>
        <v>0.21852530000000314</v>
      </c>
      <c r="E35" s="30">
        <f t="shared" si="15"/>
        <v>165.4489830000017</v>
      </c>
      <c r="F35" s="30">
        <f t="shared" si="3"/>
        <v>2.1852530000000314</v>
      </c>
      <c r="G35" s="30">
        <f>IF(B35=0,"",IF('Cumulative Volumes Imperial'!$AQ$17=FALSE,I35,H35))</f>
        <v>146.27963893333262</v>
      </c>
      <c r="H35" s="30">
        <f t="shared" si="4"/>
        <v>146.27963893333262</v>
      </c>
      <c r="I35" s="30">
        <f t="shared" si="5"/>
        <v>143.94709263703638</v>
      </c>
      <c r="J35" s="30">
        <f>IF(B35="","",IF('Cumulative Volumes Imperial'!$AQ$17=FALSE,L35,K35))</f>
        <v>313.91387493333434</v>
      </c>
      <c r="K35" s="30">
        <f t="shared" si="6"/>
        <v>313.91387493333434</v>
      </c>
      <c r="L35" s="30">
        <f t="shared" si="7"/>
        <v>311.58132863703815</v>
      </c>
      <c r="M35" s="30">
        <f>IF($E$8+45+$E$9&gt;989,"FALSE",IF(B35="","",IF('Cumulative Volumes Imperial'!$AQ$17=FALSE,O35,N35)))</f>
        <v>23226.667104920005</v>
      </c>
      <c r="N35" s="30">
        <f t="shared" si="8"/>
        <v>23226.667104920005</v>
      </c>
      <c r="O35" s="30">
        <f>IF(B35=0,"",IF('Cumulative Volumes Imperial'!$AQ$17=FALSE,(V35*$E$4)+(W35*$E$5),N35))</f>
        <v>23226.667104920005</v>
      </c>
      <c r="P35" s="30">
        <f>IF(B35=0,"",(((1/12)*'Imperial Data'!$AC$4*'Imperial Data'!$AC$5)-C35)*$H$6)</f>
        <v>1.3351749013333269</v>
      </c>
      <c r="Q35" s="30">
        <f t="shared" si="9"/>
        <v>133.5174901333327</v>
      </c>
      <c r="R35" s="30">
        <f>IF(B35=0,"",(((1/12)*'Imperial Data'!$AC$5*'Imperial Data'!$AC$7)-D35)*$H$6)</f>
        <v>1.042960250370369</v>
      </c>
      <c r="S35" s="30">
        <f t="shared" si="10"/>
        <v>10.429602503703689</v>
      </c>
      <c r="T35" s="30">
        <f t="shared" si="0"/>
        <v>169.90689732000001</v>
      </c>
      <c r="U35" s="30">
        <f t="shared" si="1"/>
        <v>38.708877620000003</v>
      </c>
      <c r="V35" s="30">
        <f t="shared" si="11"/>
        <v>221.76238839200002</v>
      </c>
      <c r="W35" s="30">
        <f t="shared" si="12"/>
        <v>91.04754879422218</v>
      </c>
      <c r="X35" s="31">
        <f t="shared" si="2"/>
        <v>104.19416224622222</v>
      </c>
      <c r="Y35" s="30">
        <f t="shared" si="13"/>
        <v>105</v>
      </c>
    </row>
    <row r="36" spans="1:25" x14ac:dyDescent="0.2">
      <c r="A36" s="2">
        <v>23</v>
      </c>
      <c r="B36" s="34">
        <f t="shared" si="14"/>
        <v>59</v>
      </c>
      <c r="C36" s="30">
        <f>IF(B36=0,"",IF('Imperial Data'!AG25&gt;=1, INDEX(Imperial_Incremental[], MATCH('Imperial Data'!AG25, Imperial_Incremental[Height], 1), MATCH('Cumulative Volumes Imperial'!$F$4, Imperial_Incremental[#Headers], 0)), 0))</f>
        <v>1.7939655600000037</v>
      </c>
      <c r="D36" s="30">
        <f>IF(B36=0,"",IF('Imperial Data'!AG25&gt;=1, INDEX(Imperial_Incremental[], MATCH('Imperial Data'!AG25, Imperial_Incremental[Height], 1), MATCH('Cumulative Volumes Imperial'!$F$4 &amp; "EC", Imperial_Incremental[#Headers], 0)), 0))</f>
        <v>0.24693469999999706</v>
      </c>
      <c r="E36" s="30">
        <f t="shared" si="15"/>
        <v>179.39655600000037</v>
      </c>
      <c r="F36" s="30">
        <f t="shared" si="3"/>
        <v>2.4693469999999706</v>
      </c>
      <c r="G36" s="30">
        <f>IF(B36=0,"",IF('Cumulative Volumes Imperial'!$AQ$17=FALSE,I36,H36))</f>
        <v>140.58697213333318</v>
      </c>
      <c r="H36" s="30">
        <f t="shared" si="4"/>
        <v>140.58697213333318</v>
      </c>
      <c r="I36" s="30">
        <f t="shared" si="5"/>
        <v>138.25442583703693</v>
      </c>
      <c r="J36" s="30">
        <f>IF(B36="","",IF('Cumulative Volumes Imperial'!$AQ$17=FALSE,L36,K36))</f>
        <v>322.45287513333352</v>
      </c>
      <c r="K36" s="30">
        <f t="shared" si="6"/>
        <v>322.45287513333352</v>
      </c>
      <c r="L36" s="30">
        <f t="shared" si="7"/>
        <v>320.12032883703728</v>
      </c>
      <c r="M36" s="30">
        <f>IF($E$8+45+$E$9&gt;989,"FALSE",IF(B36="","",IF('Cumulative Volumes Imperial'!$AQ$17=FALSE,O36,N36)))</f>
        <v>22912.753229986669</v>
      </c>
      <c r="N36" s="30">
        <f t="shared" si="8"/>
        <v>22912.753229986669</v>
      </c>
      <c r="O36" s="30">
        <f>IF(B36=0,"",IF('Cumulative Volumes Imperial'!$AQ$17=FALSE,(V36*$E$4)+(W36*$E$5),N36))</f>
        <v>22912.753229986669</v>
      </c>
      <c r="P36" s="30">
        <f>IF(B36=0,"",(((1/12)*'Imperial Data'!$AC$4*'Imperial Data'!$AC$5)-C36)*$H$6)</f>
        <v>1.2793846093333323</v>
      </c>
      <c r="Q36" s="30">
        <f t="shared" si="9"/>
        <v>127.93846093333323</v>
      </c>
      <c r="R36" s="30">
        <f>IF(B36=0,"",(((1/12)*'Imperial Data'!$AC$5*'Imperial Data'!$AC$7)-D36)*$H$6)</f>
        <v>1.0315964903703714</v>
      </c>
      <c r="S36" s="30">
        <f t="shared" si="10"/>
        <v>10.315964903703714</v>
      </c>
      <c r="T36" s="30">
        <f t="shared" si="0"/>
        <v>168.25240749</v>
      </c>
      <c r="U36" s="30">
        <f t="shared" si="1"/>
        <v>38.49035232</v>
      </c>
      <c r="V36" s="30">
        <f t="shared" si="11"/>
        <v>218.77272366066668</v>
      </c>
      <c r="W36" s="30">
        <f t="shared" si="12"/>
        <v>89.7860632438518</v>
      </c>
      <c r="X36" s="31">
        <f t="shared" si="2"/>
        <v>101.81602709451852</v>
      </c>
      <c r="Y36" s="30">
        <f t="shared" si="13"/>
        <v>104.91666666666667</v>
      </c>
    </row>
    <row r="37" spans="1:25" x14ac:dyDescent="0.2">
      <c r="A37" s="2">
        <v>24</v>
      </c>
      <c r="B37" s="34">
        <f t="shared" si="14"/>
        <v>58</v>
      </c>
      <c r="C37" s="30">
        <f>IF(B37=0,"",IF('Imperial Data'!AG26&gt;=1, INDEX(Imperial_Incremental[], MATCH('Imperial Data'!AG26, Imperial_Incremental[Height], 1), MATCH('Cumulative Volumes Imperial'!$F$4, Imperial_Incremental[#Headers], 0)), 0))</f>
        <v>1.9196539699999846</v>
      </c>
      <c r="D37" s="30">
        <f>IF(B37=0,"",IF('Imperial Data'!AG26&gt;=1, INDEX(Imperial_Incremental[], MATCH('Imperial Data'!AG26, Imperial_Incremental[Height], 1), MATCH('Cumulative Volumes Imperial'!$F$4 &amp; "EC", Imperial_Incremental[#Headers], 0)), 0))</f>
        <v>0.27528255000000001</v>
      </c>
      <c r="E37" s="30">
        <f t="shared" si="15"/>
        <v>191.96539699999846</v>
      </c>
      <c r="F37" s="30">
        <f t="shared" si="3"/>
        <v>2.7528255000000001</v>
      </c>
      <c r="G37" s="30">
        <f>IF(B37=0,"",IF('Cumulative Volumes Imperial'!$AQ$17=FALSE,I37,H37))</f>
        <v>135.44604433333393</v>
      </c>
      <c r="H37" s="30">
        <f t="shared" si="4"/>
        <v>135.44604433333393</v>
      </c>
      <c r="I37" s="30">
        <f t="shared" si="5"/>
        <v>133.11349803703769</v>
      </c>
      <c r="J37" s="30">
        <f>IF(B37="","",IF('Cumulative Volumes Imperial'!$AQ$17=FALSE,L37,K37))</f>
        <v>330.16426683333236</v>
      </c>
      <c r="K37" s="30">
        <f t="shared" si="6"/>
        <v>330.16426683333236</v>
      </c>
      <c r="L37" s="30">
        <f t="shared" si="7"/>
        <v>327.83172053703618</v>
      </c>
      <c r="M37" s="30">
        <f>IF($E$8+45+$E$9&gt;989,"FALSE",IF(B37="","",IF('Cumulative Volumes Imperial'!$AQ$17=FALSE,O37,N37)))</f>
        <v>22590.300354853334</v>
      </c>
      <c r="N37" s="30">
        <f t="shared" si="8"/>
        <v>22590.300354853334</v>
      </c>
      <c r="O37" s="30">
        <f>IF(B37=0,"",IF('Cumulative Volumes Imperial'!$AQ$17=FALSE,(V37*$E$4)+(W37*$E$5),N37))</f>
        <v>22590.300354853334</v>
      </c>
      <c r="P37" s="30">
        <f>IF(B37=0,"",(((1/12)*'Imperial Data'!$AC$4*'Imperial Data'!$AC$5)-C37)*$H$6)</f>
        <v>1.2291092453333399</v>
      </c>
      <c r="Q37" s="30">
        <f t="shared" si="9"/>
        <v>122.91092453333398</v>
      </c>
      <c r="R37" s="30">
        <f>IF(B37=0,"",(((1/12)*'Imperial Data'!$AC$5*'Imperial Data'!$AC$7)-D37)*$H$6)</f>
        <v>1.0202573503703702</v>
      </c>
      <c r="S37" s="30">
        <f t="shared" si="10"/>
        <v>10.202573503703702</v>
      </c>
      <c r="T37" s="30">
        <f t="shared" si="0"/>
        <v>166.45844192999999</v>
      </c>
      <c r="U37" s="30">
        <f t="shared" si="1"/>
        <v>38.243417620000002</v>
      </c>
      <c r="V37" s="30">
        <f t="shared" si="11"/>
        <v>215.69937349133335</v>
      </c>
      <c r="W37" s="30">
        <f t="shared" si="12"/>
        <v>88.507532053481427</v>
      </c>
      <c r="X37" s="31">
        <f t="shared" si="2"/>
        <v>99.505045994814807</v>
      </c>
      <c r="Y37" s="30">
        <f t="shared" si="13"/>
        <v>104.83333333333333</v>
      </c>
    </row>
    <row r="38" spans="1:25" x14ac:dyDescent="0.2">
      <c r="A38" s="2">
        <v>25</v>
      </c>
      <c r="B38" s="34">
        <f t="shared" si="14"/>
        <v>57</v>
      </c>
      <c r="C38" s="30">
        <f>IF(B38=0,"",IF('Imperial Data'!AG27&gt;=1, INDEX(Imperial_Incremental[], MATCH('Imperial Data'!AG27, Imperial_Incremental[Height], 1), MATCH('Cumulative Volumes Imperial'!$F$4, Imperial_Incremental[#Headers], 0)), 0))</f>
        <v>2.0374367600000198</v>
      </c>
      <c r="D38" s="30">
        <f>IF(B38=0,"",IF('Imperial Data'!AG27&gt;=1, INDEX(Imperial_Incremental[], MATCH('Imperial Data'!AG27, Imperial_Incremental[Height], 1), MATCH('Cumulative Volumes Imperial'!$F$4 &amp; "EC", Imperial_Incremental[#Headers], 0)), 0))</f>
        <v>0.30184331000000242</v>
      </c>
      <c r="E38" s="30">
        <f t="shared" si="15"/>
        <v>203.74367600000198</v>
      </c>
      <c r="F38" s="30">
        <f t="shared" si="3"/>
        <v>3.0184331000000242</v>
      </c>
      <c r="G38" s="30">
        <f>IF(B38=0,"",IF('Cumulative Volumes Imperial'!$AQ$17=FALSE,I38,H38))</f>
        <v>130.62848969333251</v>
      </c>
      <c r="H38" s="30">
        <f t="shared" si="4"/>
        <v>130.62848969333251</v>
      </c>
      <c r="I38" s="30">
        <f t="shared" si="5"/>
        <v>128.2959433970363</v>
      </c>
      <c r="J38" s="30">
        <f>IF(B38="","",IF('Cumulative Volumes Imperial'!$AQ$17=FALSE,L38,K38))</f>
        <v>337.3905987933345</v>
      </c>
      <c r="K38" s="30">
        <f t="shared" si="6"/>
        <v>337.3905987933345</v>
      </c>
      <c r="L38" s="30">
        <f t="shared" si="7"/>
        <v>335.05805249703832</v>
      </c>
      <c r="M38" s="30">
        <f>IF($E$8+45+$E$9&gt;989,"FALSE",IF(B38="","",IF('Cumulative Volumes Imperial'!$AQ$17=FALSE,O38,N38)))</f>
        <v>22260.136088020001</v>
      </c>
      <c r="N38" s="30">
        <f t="shared" si="8"/>
        <v>22260.136088020001</v>
      </c>
      <c r="O38" s="30">
        <f>IF(B38=0,"",IF('Cumulative Volumes Imperial'!$AQ$17=FALSE,(V38*$E$4)+(W38*$E$5),N38))</f>
        <v>22260.136088020001</v>
      </c>
      <c r="P38" s="30">
        <f>IF(B38=0,"",(((1/12)*'Imperial Data'!$AC$4*'Imperial Data'!$AC$5)-C38)*$H$6)</f>
        <v>1.1819961293333259</v>
      </c>
      <c r="Q38" s="30">
        <f t="shared" si="9"/>
        <v>118.19961293333259</v>
      </c>
      <c r="R38" s="30">
        <f>IF(B38=0,"",(((1/12)*'Imperial Data'!$AC$5*'Imperial Data'!$AC$7)-D38)*$H$6)</f>
        <v>1.0096330463703693</v>
      </c>
      <c r="S38" s="30">
        <f t="shared" si="10"/>
        <v>10.096330463703694</v>
      </c>
      <c r="T38" s="30">
        <f t="shared" si="0"/>
        <v>164.53878796000001</v>
      </c>
      <c r="U38" s="30">
        <f t="shared" si="1"/>
        <v>37.968135070000002</v>
      </c>
      <c r="V38" s="30">
        <f t="shared" si="11"/>
        <v>212.55061027600001</v>
      </c>
      <c r="W38" s="30">
        <f t="shared" si="12"/>
        <v>87.211992153111055</v>
      </c>
      <c r="X38" s="31">
        <f t="shared" si="2"/>
        <v>97.255679399111102</v>
      </c>
      <c r="Y38" s="30">
        <f t="shared" si="13"/>
        <v>104.75</v>
      </c>
    </row>
    <row r="39" spans="1:25" x14ac:dyDescent="0.2">
      <c r="A39" s="2">
        <v>26</v>
      </c>
      <c r="B39" s="34">
        <f t="shared" si="14"/>
        <v>56</v>
      </c>
      <c r="C39" s="30">
        <f>IF(B39=0,"",IF('Imperial Data'!AG28&gt;=1, INDEX(Imperial_Incremental[], MATCH('Imperial Data'!AG28, Imperial_Incremental[Height], 1), MATCH('Cumulative Volumes Imperial'!$F$4, Imperial_Incremental[#Headers], 0)), 0))</f>
        <v>2.1453267099999778</v>
      </c>
      <c r="D39" s="30">
        <f>IF(B39=0,"",IF('Imperial Data'!AG28&gt;=1, INDEX(Imperial_Incremental[], MATCH('Imperial Data'!AG28, Imperial_Incremental[Height], 1), MATCH('Cumulative Volumes Imperial'!$F$4 &amp; "EC", Imperial_Incremental[#Headers], 0)), 0))</f>
        <v>0.32750561000000289</v>
      </c>
      <c r="E39" s="30">
        <f t="shared" si="15"/>
        <v>214.53267099999778</v>
      </c>
      <c r="F39" s="30">
        <f t="shared" si="3"/>
        <v>3.2750561000000289</v>
      </c>
      <c r="G39" s="30">
        <f>IF(B39=0,"",IF('Cumulative Volumes Imperial'!$AQ$17=FALSE,I39,H39))</f>
        <v>126.21024249333419</v>
      </c>
      <c r="H39" s="30">
        <f t="shared" si="4"/>
        <v>126.21024249333419</v>
      </c>
      <c r="I39" s="30">
        <f t="shared" si="5"/>
        <v>123.87769619703796</v>
      </c>
      <c r="J39" s="30">
        <f>IF(B39="","",IF('Cumulative Volumes Imperial'!$AQ$17=FALSE,L39,K39))</f>
        <v>344.017969593332</v>
      </c>
      <c r="K39" s="30">
        <f t="shared" si="6"/>
        <v>344.017969593332</v>
      </c>
      <c r="L39" s="30">
        <f t="shared" si="7"/>
        <v>341.68542329703575</v>
      </c>
      <c r="M39" s="30">
        <f>IF($E$8+45+$E$9&gt;989,"FALSE",IF(B39="","",IF('Cumulative Volumes Imperial'!$AQ$17=FALSE,O39,N39)))</f>
        <v>21922.745489226665</v>
      </c>
      <c r="N39" s="30">
        <f t="shared" si="8"/>
        <v>21922.745489226665</v>
      </c>
      <c r="O39" s="30">
        <f>IF(B39=0,"",IF('Cumulative Volumes Imperial'!$AQ$17=FALSE,(V39*$E$4)+(W39*$E$5),N39))</f>
        <v>21922.745489226665</v>
      </c>
      <c r="P39" s="30">
        <f>IF(B39=0,"",(((1/12)*'Imperial Data'!$AC$4*'Imperial Data'!$AC$5)-C39)*$H$6)</f>
        <v>1.1388401493333427</v>
      </c>
      <c r="Q39" s="30">
        <f t="shared" si="9"/>
        <v>113.88401493333427</v>
      </c>
      <c r="R39" s="30">
        <f>IF(B39=0,"",(((1/12)*'Imperial Data'!$AC$5*'Imperial Data'!$AC$7)-D39)*$H$6)</f>
        <v>0.99936812637036909</v>
      </c>
      <c r="S39" s="30">
        <f t="shared" si="10"/>
        <v>9.9936812637036905</v>
      </c>
      <c r="T39" s="30">
        <f t="shared" si="0"/>
        <v>162.50135119999999</v>
      </c>
      <c r="U39" s="30">
        <f t="shared" si="1"/>
        <v>37.66629176</v>
      </c>
      <c r="V39" s="30">
        <f t="shared" si="11"/>
        <v>209.33117738666667</v>
      </c>
      <c r="W39" s="30">
        <f t="shared" si="12"/>
        <v>85.900515796740677</v>
      </c>
      <c r="X39" s="31">
        <f t="shared" si="2"/>
        <v>95.064050223407406</v>
      </c>
      <c r="Y39" s="30">
        <f t="shared" si="13"/>
        <v>104.66666666666667</v>
      </c>
    </row>
    <row r="40" spans="1:25" x14ac:dyDescent="0.2">
      <c r="A40" s="2">
        <v>27</v>
      </c>
      <c r="B40" s="34">
        <f t="shared" si="14"/>
        <v>55</v>
      </c>
      <c r="C40" s="30">
        <f>IF(B40=0,"",IF('Imperial Data'!AG29&gt;=1, INDEX(Imperial_Incremental[], MATCH('Imperial Data'!AG29, Imperial_Incremental[Height], 1), MATCH('Cumulative Volumes Imperial'!$F$4, Imperial_Incremental[#Headers], 0)), 0))</f>
        <v>2.2476975000000152</v>
      </c>
      <c r="D40" s="30">
        <f>IF(B40=0,"",IF('Imperial Data'!AG29&gt;=1, INDEX(Imperial_Incremental[], MATCH('Imperial Data'!AG29, Imperial_Incremental[Height], 1), MATCH('Cumulative Volumes Imperial'!$F$4 &amp; "EC", Imperial_Incremental[#Headers], 0)), 0))</f>
        <v>0.35450524999999544</v>
      </c>
      <c r="E40" s="30">
        <f t="shared" si="15"/>
        <v>224.76975000000152</v>
      </c>
      <c r="F40" s="30">
        <f t="shared" si="3"/>
        <v>3.5450524999999544</v>
      </c>
      <c r="G40" s="30">
        <f>IF(B40=0,"",IF('Cumulative Volumes Imperial'!$AQ$17=FALSE,I40,H40))</f>
        <v>122.00741233333272</v>
      </c>
      <c r="H40" s="30">
        <f t="shared" si="4"/>
        <v>122.00741233333272</v>
      </c>
      <c r="I40" s="30">
        <f t="shared" si="5"/>
        <v>119.67486603703648</v>
      </c>
      <c r="J40" s="30">
        <f>IF(B40="","",IF('Cumulative Volumes Imperial'!$AQ$17=FALSE,L40,K40))</f>
        <v>350.32221483333421</v>
      </c>
      <c r="K40" s="30">
        <f t="shared" si="6"/>
        <v>350.32221483333421</v>
      </c>
      <c r="L40" s="30">
        <f t="shared" si="7"/>
        <v>347.98966853703791</v>
      </c>
      <c r="M40" s="30">
        <f>IF($E$8+45+$E$9&gt;989,"FALSE",IF(B40="","",IF('Cumulative Volumes Imperial'!$AQ$17=FALSE,O40,N40)))</f>
        <v>21578.727519633332</v>
      </c>
      <c r="N40" s="30">
        <f t="shared" si="8"/>
        <v>21578.727519633332</v>
      </c>
      <c r="O40" s="30">
        <f>IF(B40=0,"",IF('Cumulative Volumes Imperial'!$AQ$17=FALSE,(V40*$E$4)+(W40*$E$5),N40))</f>
        <v>21578.727519633332</v>
      </c>
      <c r="P40" s="30">
        <f>IF(B40=0,"",(((1/12)*'Imperial Data'!$AC$4*'Imperial Data'!$AC$5)-C40)*$H$6)</f>
        <v>1.0978918333333276</v>
      </c>
      <c r="Q40" s="30">
        <f t="shared" si="9"/>
        <v>109.78918333333276</v>
      </c>
      <c r="R40" s="30">
        <f>IF(B40=0,"",(((1/12)*'Imperial Data'!$AC$5*'Imperial Data'!$AC$7)-D40)*$H$6)</f>
        <v>0.98856827037037209</v>
      </c>
      <c r="S40" s="30">
        <f t="shared" si="10"/>
        <v>9.8856827037037203</v>
      </c>
      <c r="T40" s="30">
        <f t="shared" si="0"/>
        <v>160.35602449000001</v>
      </c>
      <c r="U40" s="30">
        <f t="shared" si="1"/>
        <v>37.338786149999997</v>
      </c>
      <c r="V40" s="30">
        <f t="shared" si="11"/>
        <v>206.04701052733336</v>
      </c>
      <c r="W40" s="30">
        <f t="shared" si="12"/>
        <v>84.573642060370304</v>
      </c>
      <c r="X40" s="31">
        <f t="shared" si="2"/>
        <v>92.925841947703688</v>
      </c>
      <c r="Y40" s="30">
        <f t="shared" si="13"/>
        <v>104.58333333333333</v>
      </c>
    </row>
    <row r="41" spans="1:25" x14ac:dyDescent="0.2">
      <c r="A41" s="2">
        <v>28</v>
      </c>
      <c r="B41" s="34">
        <f t="shared" si="14"/>
        <v>54</v>
      </c>
      <c r="C41" s="30">
        <f>IF(B41=0,"",IF('Imperial Data'!AG30&gt;=1, INDEX(Imperial_Incremental[], MATCH('Imperial Data'!AG30, Imperial_Incremental[Height], 1), MATCH('Cumulative Volumes Imperial'!$F$4, Imperial_Incremental[#Headers], 0)), 0))</f>
        <v>2.3431431799999984</v>
      </c>
      <c r="D41" s="30">
        <f>IF(B41=0,"",IF('Imperial Data'!AG30&gt;=1, INDEX(Imperial_Incremental[], MATCH('Imperial Data'!AG30, Imperial_Incremental[Height], 1), MATCH('Cumulative Volumes Imperial'!$F$4 &amp; "EC", Imperial_Incremental[#Headers], 0)), 0))</f>
        <v>0.38369900000000001</v>
      </c>
      <c r="E41" s="30">
        <f t="shared" si="15"/>
        <v>234.31431799999984</v>
      </c>
      <c r="F41" s="30">
        <f t="shared" si="3"/>
        <v>3.8369900000000001</v>
      </c>
      <c r="G41" s="30">
        <f>IF(B41=0,"",IF('Cumulative Volumes Imperial'!$AQ$17=FALSE,I41,H41))</f>
        <v>118.07281013333336</v>
      </c>
      <c r="H41" s="30">
        <f t="shared" si="4"/>
        <v>118.07281013333336</v>
      </c>
      <c r="I41" s="30">
        <f t="shared" si="5"/>
        <v>115.74026383703715</v>
      </c>
      <c r="J41" s="30">
        <f>IF(B41="","",IF('Cumulative Volumes Imperial'!$AQ$17=FALSE,L41,K41))</f>
        <v>356.22411813333321</v>
      </c>
      <c r="K41" s="30">
        <f t="shared" si="6"/>
        <v>356.22411813333321</v>
      </c>
      <c r="L41" s="30">
        <f t="shared" si="7"/>
        <v>353.89157183703702</v>
      </c>
      <c r="M41" s="30">
        <f>IF($E$8+45+$E$9&gt;989,"FALSE",IF(B41="","",IF('Cumulative Volumes Imperial'!$AQ$17=FALSE,O41,N41)))</f>
        <v>21228.405304799999</v>
      </c>
      <c r="N41" s="30">
        <f t="shared" si="8"/>
        <v>21228.405304799999</v>
      </c>
      <c r="O41" s="30">
        <f>IF(B41=0,"",IF('Cumulative Volumes Imperial'!$AQ$17=FALSE,(V41*$E$4)+(W41*$E$5),N41))</f>
        <v>21228.405304799999</v>
      </c>
      <c r="P41" s="30">
        <f>IF(B41=0,"",(((1/12)*'Imperial Data'!$AC$4*'Imperial Data'!$AC$5)-C41)*$H$6)</f>
        <v>1.0597135613333344</v>
      </c>
      <c r="Q41" s="30">
        <f t="shared" si="9"/>
        <v>105.97135613333344</v>
      </c>
      <c r="R41" s="30">
        <f>IF(B41=0,"",(((1/12)*'Imperial Data'!$AC$5*'Imperial Data'!$AC$7)-D41)*$H$6)</f>
        <v>0.9768907703703702</v>
      </c>
      <c r="S41" s="30">
        <f t="shared" si="10"/>
        <v>9.768907703703702</v>
      </c>
      <c r="T41" s="30">
        <f t="shared" si="0"/>
        <v>158.10832698999999</v>
      </c>
      <c r="U41" s="30">
        <f t="shared" si="1"/>
        <v>36.984280900000002</v>
      </c>
      <c r="V41" s="30">
        <f t="shared" si="11"/>
        <v>202.70142119400001</v>
      </c>
      <c r="W41" s="30">
        <f t="shared" si="12"/>
        <v>83.23056853999995</v>
      </c>
      <c r="X41" s="31">
        <f t="shared" si="2"/>
        <v>90.839381844000002</v>
      </c>
      <c r="Y41" s="30">
        <f t="shared" si="13"/>
        <v>104.5</v>
      </c>
    </row>
    <row r="42" spans="1:25" x14ac:dyDescent="0.2">
      <c r="A42" s="2">
        <v>29</v>
      </c>
      <c r="B42" s="34">
        <f t="shared" si="14"/>
        <v>53</v>
      </c>
      <c r="C42" s="30">
        <f>IF(B42=0,"",IF('Imperial Data'!AG31&gt;=1, INDEX(Imperial_Incremental[], MATCH('Imperial Data'!AG31, Imperial_Incremental[Height], 1), MATCH('Cumulative Volumes Imperial'!$F$4, Imperial_Incremental[#Headers], 0)), 0))</f>
        <v>2.4334489700000006</v>
      </c>
      <c r="D42" s="30">
        <f>IF(B42=0,"",IF('Imperial Data'!AG31&gt;=1, INDEX(Imperial_Incremental[], MATCH('Imperial Data'!AG31, Imperial_Incremental[Height], 1), MATCH('Cumulative Volumes Imperial'!$F$4 &amp; "EC", Imperial_Incremental[#Headers], 0)), 0))</f>
        <v>0.40919427000000042</v>
      </c>
      <c r="E42" s="30">
        <f t="shared" si="15"/>
        <v>243.34489700000006</v>
      </c>
      <c r="F42" s="30">
        <f t="shared" si="3"/>
        <v>4.0919427000000042</v>
      </c>
      <c r="G42" s="30">
        <f>IF(B42=0,"",IF('Cumulative Volumes Imperial'!$AQ$17=FALSE,I42,H42))</f>
        <v>114.35859745333329</v>
      </c>
      <c r="H42" s="30">
        <f t="shared" si="4"/>
        <v>114.35859745333329</v>
      </c>
      <c r="I42" s="30">
        <f t="shared" si="5"/>
        <v>112.02605115703706</v>
      </c>
      <c r="J42" s="30">
        <f>IF(B42="","",IF('Cumulative Volumes Imperial'!$AQ$17=FALSE,L42,K42))</f>
        <v>361.79543715333335</v>
      </c>
      <c r="K42" s="30">
        <f t="shared" si="6"/>
        <v>361.79543715333335</v>
      </c>
      <c r="L42" s="30">
        <f t="shared" si="7"/>
        <v>359.46289085703711</v>
      </c>
      <c r="M42" s="30">
        <f>IF($E$8+45+$E$9&gt;989,"FALSE",IF(B42="","",IF('Cumulative Volumes Imperial'!$AQ$17=FALSE,O42,N42)))</f>
        <v>20872.181186666665</v>
      </c>
      <c r="N42" s="30">
        <f t="shared" si="8"/>
        <v>20872.181186666665</v>
      </c>
      <c r="O42" s="30">
        <f>IF(B42=0,"",IF('Cumulative Volumes Imperial'!$AQ$17=FALSE,(V42*$E$4)+(W42*$E$5),N42))</f>
        <v>20872.181186666665</v>
      </c>
      <c r="P42" s="30">
        <f>IF(B42=0,"",(((1/12)*'Imperial Data'!$AC$4*'Imperial Data'!$AC$5)-C42)*$H$6)</f>
        <v>1.0235912453333336</v>
      </c>
      <c r="Q42" s="30">
        <f t="shared" si="9"/>
        <v>102.35912453333336</v>
      </c>
      <c r="R42" s="30">
        <f>IF(B42=0,"",(((1/12)*'Imperial Data'!$AC$5*'Imperial Data'!$AC$7)-D42)*$H$6)</f>
        <v>0.9666926623703701</v>
      </c>
      <c r="S42" s="30">
        <f t="shared" si="10"/>
        <v>9.6669266237037004</v>
      </c>
      <c r="T42" s="30">
        <f t="shared" si="0"/>
        <v>155.76518381</v>
      </c>
      <c r="U42" s="30">
        <f t="shared" si="1"/>
        <v>36.600581900000002</v>
      </c>
      <c r="V42" s="30">
        <f t="shared" si="11"/>
        <v>199.29856445266668</v>
      </c>
      <c r="W42" s="30">
        <f t="shared" si="12"/>
        <v>81.869978769629583</v>
      </c>
      <c r="X42" s="31">
        <f t="shared" si="2"/>
        <v>88.802777512296288</v>
      </c>
      <c r="Y42" s="30">
        <f t="shared" si="13"/>
        <v>104.41666666666667</v>
      </c>
    </row>
    <row r="43" spans="1:25" x14ac:dyDescent="0.2">
      <c r="A43" s="2">
        <v>30</v>
      </c>
      <c r="B43" s="34">
        <f t="shared" si="14"/>
        <v>52</v>
      </c>
      <c r="C43" s="30">
        <f>IF(B43=0,"",IF('Imperial Data'!AG32&gt;=1, INDEX(Imperial_Incremental[], MATCH('Imperial Data'!AG32, Imperial_Incremental[Height], 1), MATCH('Cumulative Volumes Imperial'!$F$4, Imperial_Incremental[#Headers], 0)), 0))</f>
        <v>2.5190624100000036</v>
      </c>
      <c r="D43" s="30">
        <f>IF(B43=0,"",IF('Imperial Data'!AG32&gt;=1, INDEX(Imperial_Incremental[], MATCH('Imperial Data'!AG32, Imperial_Incremental[Height], 1), MATCH('Cumulative Volumes Imperial'!$F$4 &amp; "EC", Imperial_Incremental[#Headers], 0)), 0))</f>
        <v>0.44088044000000082</v>
      </c>
      <c r="E43" s="30">
        <f t="shared" si="15"/>
        <v>251.90624100000036</v>
      </c>
      <c r="F43" s="30">
        <f t="shared" si="3"/>
        <v>4.4088044000000082</v>
      </c>
      <c r="G43" s="30">
        <f>IF(B43=0,"",IF('Cumulative Volumes Imperial'!$AQ$17=FALSE,I43,H43))</f>
        <v>110.80731517333317</v>
      </c>
      <c r="H43" s="30">
        <f t="shared" si="4"/>
        <v>110.80731517333317</v>
      </c>
      <c r="I43" s="30">
        <f t="shared" si="5"/>
        <v>108.47476887703692</v>
      </c>
      <c r="J43" s="30">
        <f>IF(B43="","",IF('Cumulative Volumes Imperial'!$AQ$17=FALSE,L43,K43))</f>
        <v>367.12236057333354</v>
      </c>
      <c r="K43" s="30">
        <f t="shared" si="6"/>
        <v>367.12236057333354</v>
      </c>
      <c r="L43" s="30">
        <f t="shared" si="7"/>
        <v>364.78981427703729</v>
      </c>
      <c r="M43" s="30">
        <f>IF($E$8+45+$E$9&gt;989,"FALSE",IF(B43="","",IF('Cumulative Volumes Imperial'!$AQ$17=FALSE,O43,N43)))</f>
        <v>20510.385749513331</v>
      </c>
      <c r="N43" s="30">
        <f t="shared" si="8"/>
        <v>20510.385749513331</v>
      </c>
      <c r="O43" s="30">
        <f>IF(B43=0,"",IF('Cumulative Volumes Imperial'!$AQ$17=FALSE,(V43*$E$4)+(W43*$E$5),N43))</f>
        <v>20510.385749513331</v>
      </c>
      <c r="P43" s="30">
        <f>IF(B43=0,"",(((1/12)*'Imperial Data'!$AC$4*'Imperial Data'!$AC$5)-C43)*$H$6)</f>
        <v>0.98934586933333224</v>
      </c>
      <c r="Q43" s="30">
        <f t="shared" si="9"/>
        <v>98.934586933333222</v>
      </c>
      <c r="R43" s="30">
        <f>IF(B43=0,"",(((1/12)*'Imperial Data'!$AC$5*'Imperial Data'!$AC$7)-D43)*$H$6)</f>
        <v>0.95401819437036994</v>
      </c>
      <c r="S43" s="30">
        <f t="shared" si="10"/>
        <v>9.5401819437036988</v>
      </c>
      <c r="T43" s="30">
        <f t="shared" si="0"/>
        <v>153.33173484</v>
      </c>
      <c r="U43" s="30">
        <f t="shared" si="1"/>
        <v>36.191387630000001</v>
      </c>
      <c r="V43" s="30">
        <f t="shared" si="11"/>
        <v>195.84152423733335</v>
      </c>
      <c r="W43" s="30">
        <f t="shared" si="12"/>
        <v>80.494091837259219</v>
      </c>
      <c r="X43" s="31">
        <f t="shared" si="2"/>
        <v>86.812493604592589</v>
      </c>
      <c r="Y43" s="30">
        <f t="shared" si="13"/>
        <v>104.33333333333333</v>
      </c>
    </row>
    <row r="44" spans="1:25" x14ac:dyDescent="0.2">
      <c r="A44" s="2">
        <v>31</v>
      </c>
      <c r="B44" s="34">
        <f t="shared" si="14"/>
        <v>51</v>
      </c>
      <c r="C44" s="30">
        <f>IF(B44=0,"",IF('Imperial Data'!AG33&gt;=1, INDEX(Imperial_Incremental[], MATCH('Imperial Data'!AG33, Imperial_Incremental[Height], 1), MATCH('Cumulative Volumes Imperial'!$F$4, Imperial_Incremental[#Headers], 0)), 0))</f>
        <v>2.6005697500000053</v>
      </c>
      <c r="D44" s="30">
        <f>IF(B44=0,"",IF('Imperial Data'!AG33&gt;=1, INDEX(Imperial_Incremental[], MATCH('Imperial Data'!AG33, Imperial_Incremental[Height], 1), MATCH('Cumulative Volumes Imperial'!$F$4 &amp; "EC", Imperial_Incremental[#Headers], 0)), 0))</f>
        <v>0.46878259999999727</v>
      </c>
      <c r="E44" s="30">
        <f t="shared" si="15"/>
        <v>260.05697500000053</v>
      </c>
      <c r="F44" s="30">
        <f t="shared" si="3"/>
        <v>4.6878259999999727</v>
      </c>
      <c r="G44" s="30">
        <f>IF(B44=0,"",IF('Cumulative Volumes Imperial'!$AQ$17=FALSE,I44,H44))</f>
        <v>107.43541293333311</v>
      </c>
      <c r="H44" s="30">
        <f t="shared" si="4"/>
        <v>107.43541293333311</v>
      </c>
      <c r="I44" s="30">
        <f t="shared" si="5"/>
        <v>105.10286663703687</v>
      </c>
      <c r="J44" s="30">
        <f>IF(B44="","",IF('Cumulative Volumes Imperial'!$AQ$17=FALSE,L44,K44))</f>
        <v>372.18021393333362</v>
      </c>
      <c r="K44" s="30">
        <f t="shared" si="6"/>
        <v>372.18021393333362</v>
      </c>
      <c r="L44" s="30">
        <f t="shared" si="7"/>
        <v>369.84766763703738</v>
      </c>
      <c r="M44" s="30">
        <f>IF($E$8+45+$E$9&gt;989,"FALSE",IF(B44="","",IF('Cumulative Volumes Imperial'!$AQ$17=FALSE,O44,N44)))</f>
        <v>20143.263388939999</v>
      </c>
      <c r="N44" s="30">
        <f t="shared" si="8"/>
        <v>20143.263388939999</v>
      </c>
      <c r="O44" s="30">
        <f>IF(B44=0,"",IF('Cumulative Volumes Imperial'!$AQ$17=FALSE,(V44*$E$4)+(W44*$E$5),N44))</f>
        <v>20143.263388939999</v>
      </c>
      <c r="P44" s="30">
        <f>IF(B44=0,"",(((1/12)*'Imperial Data'!$AC$4*'Imperial Data'!$AC$5)-C44)*$H$6)</f>
        <v>0.9567429333333316</v>
      </c>
      <c r="Q44" s="30">
        <f t="shared" si="9"/>
        <v>95.674293333333154</v>
      </c>
      <c r="R44" s="30">
        <f>IF(B44=0,"",(((1/12)*'Imperial Data'!$AC$5*'Imperial Data'!$AC$7)-D44)*$H$6)</f>
        <v>0.94285733037037134</v>
      </c>
      <c r="S44" s="30">
        <f t="shared" si="10"/>
        <v>9.4285733037037129</v>
      </c>
      <c r="T44" s="30">
        <f t="shared" si="0"/>
        <v>150.81267242999999</v>
      </c>
      <c r="U44" s="30">
        <f t="shared" si="1"/>
        <v>35.75050719</v>
      </c>
      <c r="V44" s="30">
        <f t="shared" si="11"/>
        <v>192.33311595800001</v>
      </c>
      <c r="W44" s="30">
        <f t="shared" si="12"/>
        <v>79.099193202888856</v>
      </c>
      <c r="X44" s="31">
        <f t="shared" si="2"/>
        <v>84.869129540888892</v>
      </c>
      <c r="Y44" s="30">
        <f t="shared" si="13"/>
        <v>104.25</v>
      </c>
    </row>
    <row r="45" spans="1:25" x14ac:dyDescent="0.2">
      <c r="A45" s="2">
        <v>32</v>
      </c>
      <c r="B45" s="34">
        <f t="shared" si="14"/>
        <v>50</v>
      </c>
      <c r="C45" s="30">
        <f>IF(B45=0,"",IF('Imperial Data'!AG34&gt;=1, INDEX(Imperial_Incremental[], MATCH('Imperial Data'!AG34, Imperial_Incremental[Height], 1), MATCH('Cumulative Volumes Imperial'!$F$4, Imperial_Incremental[#Headers], 0)), 0))</f>
        <v>2.6784145099999819</v>
      </c>
      <c r="D45" s="30">
        <f>IF(B45=0,"",IF('Imperial Data'!AG34&gt;=1, INDEX(Imperial_Incremental[], MATCH('Imperial Data'!AG34, Imperial_Incremental[Height], 1), MATCH('Cumulative Volumes Imperial'!$F$4 &amp; "EC", Imperial_Incremental[#Headers], 0)), 0))</f>
        <v>0.49523986000000519</v>
      </c>
      <c r="E45" s="30">
        <f t="shared" si="15"/>
        <v>267.84145099999819</v>
      </c>
      <c r="F45" s="30">
        <f t="shared" si="3"/>
        <v>4.9523986000000519</v>
      </c>
      <c r="G45" s="30">
        <f>IF(B45=0,"",IF('Cumulative Volumes Imperial'!$AQ$17=FALSE,I45,H45))</f>
        <v>104.21579349333402</v>
      </c>
      <c r="H45" s="30">
        <f t="shared" si="4"/>
        <v>104.21579349333402</v>
      </c>
      <c r="I45" s="30">
        <f t="shared" si="5"/>
        <v>101.88324719703778</v>
      </c>
      <c r="J45" s="30">
        <f>IF(B45="","",IF('Cumulative Volumes Imperial'!$AQ$17=FALSE,L45,K45))</f>
        <v>377.00964309333227</v>
      </c>
      <c r="K45" s="30">
        <f t="shared" si="6"/>
        <v>377.00964309333227</v>
      </c>
      <c r="L45" s="30">
        <f t="shared" si="7"/>
        <v>374.67709679703603</v>
      </c>
      <c r="M45" s="30">
        <f>IF($E$8+45+$E$9&gt;989,"FALSE",IF(B45="","",IF('Cumulative Volumes Imperial'!$AQ$17=FALSE,O45,N45)))</f>
        <v>19771.083175006665</v>
      </c>
      <c r="N45" s="30">
        <f t="shared" si="8"/>
        <v>19771.083175006665</v>
      </c>
      <c r="O45" s="30">
        <f>IF(B45=0,"",IF('Cumulative Volumes Imperial'!$AQ$17=FALSE,(V45*$E$4)+(W45*$E$5),N45))</f>
        <v>19771.083175006665</v>
      </c>
      <c r="P45" s="30">
        <f>IF(B45=0,"",(((1/12)*'Imperial Data'!$AC$4*'Imperial Data'!$AC$5)-C45)*$H$6)</f>
        <v>0.92560502933334099</v>
      </c>
      <c r="Q45" s="30">
        <f t="shared" si="9"/>
        <v>92.560502933334092</v>
      </c>
      <c r="R45" s="30">
        <f>IF(B45=0,"",(((1/12)*'Imperial Data'!$AC$5*'Imperial Data'!$AC$7)-D45)*$H$6)</f>
        <v>0.93227442637036817</v>
      </c>
      <c r="S45" s="30">
        <f t="shared" si="10"/>
        <v>9.3227442637036813</v>
      </c>
      <c r="T45" s="30">
        <f t="shared" si="0"/>
        <v>148.21210267999999</v>
      </c>
      <c r="U45" s="30">
        <f t="shared" si="1"/>
        <v>35.281724590000003</v>
      </c>
      <c r="V45" s="30">
        <f t="shared" si="11"/>
        <v>188.77580327466666</v>
      </c>
      <c r="W45" s="30">
        <f t="shared" si="12"/>
        <v>77.687553272518485</v>
      </c>
      <c r="X45" s="31">
        <f t="shared" si="2"/>
        <v>82.969529277185188</v>
      </c>
      <c r="Y45" s="30">
        <f t="shared" si="13"/>
        <v>104.16666666666667</v>
      </c>
    </row>
    <row r="46" spans="1:25" x14ac:dyDescent="0.2">
      <c r="A46" s="2">
        <v>33</v>
      </c>
      <c r="B46" s="34">
        <f t="shared" si="14"/>
        <v>49</v>
      </c>
      <c r="C46" s="30">
        <f>IF(B46=0,"",IF('Imperial Data'!AG35&gt;=1, INDEX(Imperial_Incremental[], MATCH('Imperial Data'!AG35, Imperial_Incremental[Height], 1), MATCH('Cumulative Volumes Imperial'!$F$4, Imperial_Incremental[#Headers], 0)), 0))</f>
        <v>2.7525687300000072</v>
      </c>
      <c r="D46" s="30">
        <f>IF(B46=0,"",IF('Imperial Data'!AG35&gt;=1, INDEX(Imperial_Incremental[], MATCH('Imperial Data'!AG35, Imperial_Incremental[Height], 1), MATCH('Cumulative Volumes Imperial'!$F$4 &amp; "EC", Imperial_Incremental[#Headers], 0)), 0))</f>
        <v>0.52068376999999799</v>
      </c>
      <c r="E46" s="30">
        <f t="shared" si="15"/>
        <v>275.25687300000072</v>
      </c>
      <c r="F46" s="30">
        <f t="shared" si="3"/>
        <v>5.2068376999999799</v>
      </c>
      <c r="G46" s="30">
        <f>IF(B46=0,"",IF('Cumulative Volumes Imperial'!$AQ$17=FALSE,I46,H46))</f>
        <v>101.14784905333302</v>
      </c>
      <c r="H46" s="30">
        <f t="shared" si="4"/>
        <v>101.14784905333302</v>
      </c>
      <c r="I46" s="30">
        <f t="shared" si="5"/>
        <v>98.815302757036804</v>
      </c>
      <c r="J46" s="30">
        <f>IF(B46="","",IF('Cumulative Volumes Imperial'!$AQ$17=FALSE,L46,K46))</f>
        <v>381.61155975333372</v>
      </c>
      <c r="K46" s="30">
        <f t="shared" si="6"/>
        <v>381.61155975333372</v>
      </c>
      <c r="L46" s="30">
        <f t="shared" si="7"/>
        <v>379.27901345703754</v>
      </c>
      <c r="M46" s="30">
        <f>IF($E$8+45+$E$9&gt;989,"FALSE",IF(B46="","",IF('Cumulative Volumes Imperial'!$AQ$17=FALSE,O46,N46)))</f>
        <v>19394.073531913331</v>
      </c>
      <c r="N46" s="30">
        <f t="shared" si="8"/>
        <v>19394.073531913331</v>
      </c>
      <c r="O46" s="30">
        <f>IF(B46=0,"",IF('Cumulative Volumes Imperial'!$AQ$17=FALSE,(V46*$E$4)+(W46*$E$5),N46))</f>
        <v>19394.073531913331</v>
      </c>
      <c r="P46" s="30">
        <f>IF(B46=0,"",(((1/12)*'Imperial Data'!$AC$4*'Imperial Data'!$AC$5)-C46)*$H$6)</f>
        <v>0.89594334133333087</v>
      </c>
      <c r="Q46" s="30">
        <f t="shared" si="9"/>
        <v>89.594334133333092</v>
      </c>
      <c r="R46" s="30">
        <f>IF(B46=0,"",(((1/12)*'Imperial Data'!$AC$5*'Imperial Data'!$AC$7)-D46)*$H$6)</f>
        <v>0.92209686237037103</v>
      </c>
      <c r="S46" s="30">
        <f t="shared" si="10"/>
        <v>9.2209686237037101</v>
      </c>
      <c r="T46" s="30">
        <f t="shared" si="0"/>
        <v>145.53368817</v>
      </c>
      <c r="U46" s="30">
        <f t="shared" si="1"/>
        <v>34.786484729999998</v>
      </c>
      <c r="V46" s="30">
        <f t="shared" si="11"/>
        <v>185.17178373533332</v>
      </c>
      <c r="W46" s="30">
        <f t="shared" si="12"/>
        <v>76.260038986148103</v>
      </c>
      <c r="X46" s="31">
        <f t="shared" si="2"/>
        <v>81.111649821481478</v>
      </c>
      <c r="Y46" s="30">
        <f t="shared" si="13"/>
        <v>104.08333333333333</v>
      </c>
    </row>
    <row r="47" spans="1:25" x14ac:dyDescent="0.2">
      <c r="A47" s="2">
        <v>34</v>
      </c>
      <c r="B47" s="34">
        <f t="shared" si="14"/>
        <v>48</v>
      </c>
      <c r="C47" s="30">
        <f>IF(B47=0,"",IF('Imperial Data'!AG36&gt;=1, INDEX(Imperial_Incremental[], MATCH('Imperial Data'!AG36, Imperial_Incremental[Height], 1), MATCH('Cumulative Volumes Imperial'!$F$4, Imperial_Incremental[#Headers], 0)), 0))</f>
        <v>2.8234385599999996</v>
      </c>
      <c r="D47" s="30">
        <f>IF(B47=0,"",IF('Imperial Data'!AG36&gt;=1, INDEX(Imperial_Incremental[], MATCH('Imperial Data'!AG36, Imperial_Incremental[Height], 1), MATCH('Cumulative Volumes Imperial'!$F$4 &amp; "EC", Imperial_Incremental[#Headers], 0)), 0))</f>
        <v>0.54445281999999651</v>
      </c>
      <c r="E47" s="30">
        <f t="shared" si="15"/>
        <v>282.34385599999996</v>
      </c>
      <c r="F47" s="30">
        <f t="shared" si="3"/>
        <v>5.4445281999999651</v>
      </c>
      <c r="G47" s="30">
        <f>IF(B47=0,"",IF('Cumulative Volumes Imperial'!$AQ$17=FALSE,I47,H47))</f>
        <v>98.21797965333333</v>
      </c>
      <c r="H47" s="30">
        <f t="shared" si="4"/>
        <v>98.21797965333333</v>
      </c>
      <c r="I47" s="30">
        <f t="shared" si="5"/>
        <v>95.885433357037101</v>
      </c>
      <c r="J47" s="30">
        <f>IF(B47="","",IF('Cumulative Volumes Imperial'!$AQ$17=FALSE,L47,K47))</f>
        <v>386.00636385333326</v>
      </c>
      <c r="K47" s="30">
        <f t="shared" si="6"/>
        <v>386.00636385333326</v>
      </c>
      <c r="L47" s="30">
        <f t="shared" si="7"/>
        <v>383.67381755703707</v>
      </c>
      <c r="M47" s="30">
        <f>IF($E$8+45+$E$9&gt;989,"FALSE",IF(B47="","",IF('Cumulative Volumes Imperial'!$AQ$17=FALSE,O47,N47)))</f>
        <v>19012.461972159996</v>
      </c>
      <c r="N47" s="30">
        <f t="shared" si="8"/>
        <v>19012.461972159996</v>
      </c>
      <c r="O47" s="30">
        <f>IF(B47=0,"",IF('Cumulative Volumes Imperial'!$AQ$17=FALSE,(V47*$E$4)+(W47*$E$5),N47))</f>
        <v>19012.461972159996</v>
      </c>
      <c r="P47" s="30">
        <f>IF(B47=0,"",(((1/12)*'Imperial Data'!$AC$4*'Imperial Data'!$AC$5)-C47)*$H$6)</f>
        <v>0.8675954093333339</v>
      </c>
      <c r="Q47" s="30">
        <f t="shared" si="9"/>
        <v>86.759540933333383</v>
      </c>
      <c r="R47" s="30">
        <f>IF(B47=0,"",(((1/12)*'Imperial Data'!$AC$5*'Imperial Data'!$AC$7)-D47)*$H$6)</f>
        <v>0.91258924237037164</v>
      </c>
      <c r="S47" s="30">
        <f t="shared" si="10"/>
        <v>9.125892423703716</v>
      </c>
      <c r="T47" s="30">
        <f t="shared" si="0"/>
        <v>142.78111944</v>
      </c>
      <c r="U47" s="30">
        <f t="shared" si="1"/>
        <v>34.26580096</v>
      </c>
      <c r="V47" s="30">
        <f t="shared" si="11"/>
        <v>181.52327166399999</v>
      </c>
      <c r="W47" s="30">
        <f t="shared" si="12"/>
        <v>74.817258353777746</v>
      </c>
      <c r="X47" s="31">
        <f t="shared" si="2"/>
        <v>79.293609617777776</v>
      </c>
      <c r="Y47" s="30">
        <f t="shared" si="13"/>
        <v>104</v>
      </c>
    </row>
    <row r="48" spans="1:25" x14ac:dyDescent="0.2">
      <c r="A48" s="2">
        <v>35</v>
      </c>
      <c r="B48" s="34">
        <f t="shared" si="14"/>
        <v>47</v>
      </c>
      <c r="C48" s="30">
        <f>IF(B48=0,"",IF('Imperial Data'!AG37&gt;=1, INDEX(Imperial_Incremental[], MATCH('Imperial Data'!AG37, Imperial_Incremental[Height], 1), MATCH('Cumulative Volumes Imperial'!$F$4, Imperial_Incremental[#Headers], 0)), 0))</f>
        <v>2.8914099700000122</v>
      </c>
      <c r="D48" s="30">
        <f>IF(B48=0,"",IF('Imperial Data'!AG37&gt;=1, INDEX(Imperial_Incremental[], MATCH('Imperial Data'!AG37, Imperial_Incremental[Height], 1), MATCH('Cumulative Volumes Imperial'!$F$4 &amp; "EC", Imperial_Incremental[#Headers], 0)), 0))</f>
        <v>0.56677041000000372</v>
      </c>
      <c r="E48" s="30">
        <f t="shared" si="15"/>
        <v>289.14099700000122</v>
      </c>
      <c r="F48" s="30">
        <f t="shared" si="3"/>
        <v>5.6677041000000372</v>
      </c>
      <c r="G48" s="30">
        <f>IF(B48=0,"",IF('Cumulative Volumes Imperial'!$AQ$17=FALSE,I48,H48))</f>
        <v>95.409852893332811</v>
      </c>
      <c r="H48" s="30">
        <f t="shared" si="4"/>
        <v>95.409852893332811</v>
      </c>
      <c r="I48" s="30">
        <f t="shared" si="5"/>
        <v>93.077306597036582</v>
      </c>
      <c r="J48" s="30">
        <f>IF(B48="","",IF('Cumulative Volumes Imperial'!$AQ$17=FALSE,L48,K48))</f>
        <v>390.21855399333407</v>
      </c>
      <c r="K48" s="30">
        <f t="shared" si="6"/>
        <v>390.21855399333407</v>
      </c>
      <c r="L48" s="30">
        <f t="shared" si="7"/>
        <v>387.88600769703783</v>
      </c>
      <c r="M48" s="30">
        <f>IF($E$8+45+$E$9&gt;989,"FALSE",IF(B48="","",IF('Cumulative Volumes Imperial'!$AQ$17=FALSE,O48,N48)))</f>
        <v>18626.455608306664</v>
      </c>
      <c r="N48" s="30">
        <f t="shared" si="8"/>
        <v>18626.455608306664</v>
      </c>
      <c r="O48" s="30">
        <f>IF(B48=0,"",IF('Cumulative Volumes Imperial'!$AQ$17=FALSE,(V48*$E$4)+(W48*$E$5),N48))</f>
        <v>18626.455608306664</v>
      </c>
      <c r="P48" s="30">
        <f>IF(B48=0,"",(((1/12)*'Imperial Data'!$AC$4*'Imperial Data'!$AC$5)-C48)*$H$6)</f>
        <v>0.84040684533332888</v>
      </c>
      <c r="Q48" s="30">
        <f t="shared" si="9"/>
        <v>84.040684533332893</v>
      </c>
      <c r="R48" s="30">
        <f>IF(B48=0,"",(((1/12)*'Imperial Data'!$AC$5*'Imperial Data'!$AC$7)-D48)*$H$6)</f>
        <v>0.90366220637036876</v>
      </c>
      <c r="S48" s="30">
        <f t="shared" si="10"/>
        <v>9.0366220637036871</v>
      </c>
      <c r="T48" s="30">
        <f t="shared" si="0"/>
        <v>139.95768088</v>
      </c>
      <c r="U48" s="30">
        <f t="shared" si="1"/>
        <v>33.721348140000003</v>
      </c>
      <c r="V48" s="30">
        <f t="shared" si="11"/>
        <v>177.83223769466665</v>
      </c>
      <c r="W48" s="30">
        <f t="shared" si="12"/>
        <v>73.360216291407383</v>
      </c>
      <c r="X48" s="31">
        <f t="shared" si="2"/>
        <v>77.513424966074069</v>
      </c>
      <c r="Y48" s="30">
        <f t="shared" si="13"/>
        <v>103.91666666666667</v>
      </c>
    </row>
    <row r="49" spans="1:25" x14ac:dyDescent="0.2">
      <c r="A49" s="2">
        <v>36</v>
      </c>
      <c r="B49" s="34">
        <f t="shared" si="14"/>
        <v>46</v>
      </c>
      <c r="C49" s="30">
        <f>IF(B49=0,"",IF('Imperial Data'!AG38&gt;=1, INDEX(Imperial_Incremental[], MATCH('Imperial Data'!AG38, Imperial_Incremental[Height], 1), MATCH('Cumulative Volumes Imperial'!$F$4, Imperial_Incremental[#Headers], 0)), 0))</f>
        <v>2.9563583899999912</v>
      </c>
      <c r="D49" s="30">
        <f>IF(B49=0,"",IF('Imperial Data'!AG38&gt;=1, INDEX(Imperial_Incremental[], MATCH('Imperial Data'!AG38, Imperial_Incremental[Height], 1), MATCH('Cumulative Volumes Imperial'!$F$4 &amp; "EC", Imperial_Incremental[#Headers], 0)), 0))</f>
        <v>0.58851943999999889</v>
      </c>
      <c r="E49" s="30">
        <f t="shared" si="15"/>
        <v>295.63583899999912</v>
      </c>
      <c r="F49" s="30">
        <f t="shared" si="3"/>
        <v>5.8851943999999889</v>
      </c>
      <c r="G49" s="30">
        <f>IF(B49=0,"",IF('Cumulative Volumes Imperial'!$AQ$17=FALSE,I49,H49))</f>
        <v>92.72491997333367</v>
      </c>
      <c r="H49" s="30">
        <f t="shared" si="4"/>
        <v>92.72491997333367</v>
      </c>
      <c r="I49" s="30">
        <f t="shared" si="5"/>
        <v>90.392373677037426</v>
      </c>
      <c r="J49" s="30">
        <f>IF(B49="","",IF('Cumulative Volumes Imperial'!$AQ$17=FALSE,L49,K49))</f>
        <v>394.24595337333278</v>
      </c>
      <c r="K49" s="30">
        <f t="shared" si="6"/>
        <v>394.24595337333278</v>
      </c>
      <c r="L49" s="30">
        <f t="shared" si="7"/>
        <v>391.91340707703654</v>
      </c>
      <c r="M49" s="30">
        <f>IF($E$8+45+$E$9&gt;989,"FALSE",IF(B49="","",IF('Cumulative Volumes Imperial'!$AQ$17=FALSE,O49,N49)))</f>
        <v>18236.237054313329</v>
      </c>
      <c r="N49" s="30">
        <f t="shared" si="8"/>
        <v>18236.237054313329</v>
      </c>
      <c r="O49" s="30">
        <f>IF(B49=0,"",IF('Cumulative Volumes Imperial'!$AQ$17=FALSE,(V49*$E$4)+(W49*$E$5),N49))</f>
        <v>18236.237054313329</v>
      </c>
      <c r="P49" s="30">
        <f>IF(B49=0,"",(((1/12)*'Imperial Data'!$AC$4*'Imperial Data'!$AC$5)-C49)*$H$6)</f>
        <v>0.8144274773333372</v>
      </c>
      <c r="Q49" s="30">
        <f t="shared" si="9"/>
        <v>81.442747733333718</v>
      </c>
      <c r="R49" s="30">
        <f>IF(B49=0,"",(((1/12)*'Imperial Data'!$AC$5*'Imperial Data'!$AC$7)-D49)*$H$6)</f>
        <v>0.89496259437037073</v>
      </c>
      <c r="S49" s="30">
        <f t="shared" si="10"/>
        <v>8.9496259437037082</v>
      </c>
      <c r="T49" s="30">
        <f t="shared" si="0"/>
        <v>137.06627090999999</v>
      </c>
      <c r="U49" s="30">
        <f t="shared" si="1"/>
        <v>33.15457773</v>
      </c>
      <c r="V49" s="30">
        <f t="shared" si="11"/>
        <v>174.10042087933331</v>
      </c>
      <c r="W49" s="30">
        <f t="shared" si="12"/>
        <v>71.889783675037009</v>
      </c>
      <c r="X49" s="31">
        <f t="shared" si="2"/>
        <v>75.769355914370365</v>
      </c>
      <c r="Y49" s="30">
        <f t="shared" si="13"/>
        <v>103.83333333333333</v>
      </c>
    </row>
    <row r="50" spans="1:25" x14ac:dyDescent="0.2">
      <c r="A50" s="2">
        <v>37</v>
      </c>
      <c r="B50" s="34">
        <f t="shared" si="14"/>
        <v>45</v>
      </c>
      <c r="C50" s="30">
        <f>IF(B50=0,"",IF('Imperial Data'!AG39&gt;=1, INDEX(Imperial_Incremental[], MATCH('Imperial Data'!AG39, Imperial_Incremental[Height], 1), MATCH('Cumulative Volumes Imperial'!$F$4, Imperial_Incremental[#Headers], 0)), 0))</f>
        <v>3.018770939999996</v>
      </c>
      <c r="D50" s="30">
        <f>IF(B50=0,"",IF('Imperial Data'!AG39&gt;=1, INDEX(Imperial_Incremental[], MATCH('Imperial Data'!AG39, Imperial_Incremental[Height], 1), MATCH('Cumulative Volumes Imperial'!$F$4 &amp; "EC", Imperial_Incremental[#Headers], 0)), 0))</f>
        <v>0.61002204000000049</v>
      </c>
      <c r="E50" s="30">
        <f t="shared" si="15"/>
        <v>301.8770939999996</v>
      </c>
      <c r="F50" s="30">
        <f t="shared" si="3"/>
        <v>6.1002204000000049</v>
      </c>
      <c r="G50" s="30">
        <f>IF(B50=0,"",IF('Cumulative Volumes Imperial'!$AQ$17=FALSE,I50,H50))</f>
        <v>90.142407573333458</v>
      </c>
      <c r="H50" s="30">
        <f t="shared" si="4"/>
        <v>90.142407573333458</v>
      </c>
      <c r="I50" s="30">
        <f t="shared" si="5"/>
        <v>87.809861277037228</v>
      </c>
      <c r="J50" s="30">
        <f>IF(B50="","",IF('Cumulative Volumes Imperial'!$AQ$17=FALSE,L50,K50))</f>
        <v>398.11972197333307</v>
      </c>
      <c r="K50" s="30">
        <f t="shared" si="6"/>
        <v>398.11972197333307</v>
      </c>
      <c r="L50" s="30">
        <f t="shared" si="7"/>
        <v>395.78717567703683</v>
      </c>
      <c r="M50" s="30">
        <f>IF($E$8+45+$E$9&gt;989,"FALSE",IF(B50="","",IF('Cumulative Volumes Imperial'!$AQ$17=FALSE,O50,N50)))</f>
        <v>17841.991100939995</v>
      </c>
      <c r="N50" s="30">
        <f t="shared" si="8"/>
        <v>17841.991100939995</v>
      </c>
      <c r="O50" s="30">
        <f>IF(B50=0,"",IF('Cumulative Volumes Imperial'!$AQ$17=FALSE,(V50*$E$4)+(W50*$E$5),N50))</f>
        <v>17841.991100939995</v>
      </c>
      <c r="P50" s="30">
        <f>IF(B50=0,"",(((1/12)*'Imperial Data'!$AC$4*'Imperial Data'!$AC$5)-C50)*$H$6)</f>
        <v>0.78946245733333531</v>
      </c>
      <c r="Q50" s="30">
        <f t="shared" si="9"/>
        <v>78.946245733333527</v>
      </c>
      <c r="R50" s="30">
        <f>IF(B50=0,"",(((1/12)*'Imperial Data'!$AC$5*'Imperial Data'!$AC$7)-D50)*$H$6)</f>
        <v>0.88636155437037001</v>
      </c>
      <c r="S50" s="30">
        <f t="shared" si="10"/>
        <v>8.8636155437037001</v>
      </c>
      <c r="T50" s="30">
        <f t="shared" si="0"/>
        <v>134.10991251999999</v>
      </c>
      <c r="U50" s="30">
        <f t="shared" si="1"/>
        <v>32.566058290000001</v>
      </c>
      <c r="V50" s="30">
        <f t="shared" si="11"/>
        <v>170.32963501199998</v>
      </c>
      <c r="W50" s="30">
        <f t="shared" si="12"/>
        <v>70.406301640666641</v>
      </c>
      <c r="X50" s="31">
        <f t="shared" si="2"/>
        <v>74.059965842666656</v>
      </c>
      <c r="Y50" s="30">
        <f t="shared" si="13"/>
        <v>103.75</v>
      </c>
    </row>
    <row r="51" spans="1:25" x14ac:dyDescent="0.2">
      <c r="A51" s="2">
        <v>38</v>
      </c>
      <c r="B51" s="34">
        <f t="shared" si="14"/>
        <v>44</v>
      </c>
      <c r="C51" s="30">
        <f>IF(B51=0,"",IF('Imperial Data'!AG40&gt;=1, INDEX(Imperial_Incremental[], MATCH('Imperial Data'!AG40, Imperial_Incremental[Height], 1), MATCH('Cumulative Volumes Imperial'!$F$4, Imperial_Incremental[#Headers], 0)), 0))</f>
        <v>3.0786373800000035</v>
      </c>
      <c r="D51" s="30">
        <f>IF(B51=0,"",IF('Imperial Data'!AG40&gt;=1, INDEX(Imperial_Incremental[], MATCH('Imperial Data'!AG40, Imperial_Incremental[Height], 1), MATCH('Cumulative Volumes Imperial'!$F$4 &amp; "EC", Imperial_Incremental[#Headers], 0)), 0))</f>
        <v>0.63213495000000108</v>
      </c>
      <c r="E51" s="30">
        <f t="shared" si="15"/>
        <v>307.86373800000035</v>
      </c>
      <c r="F51" s="30">
        <f t="shared" si="3"/>
        <v>6.3213495000000108</v>
      </c>
      <c r="G51" s="30">
        <f>IF(B51=0,"",IF('Cumulative Volumes Imperial'!$AQ$17=FALSE,I51,H51))</f>
        <v>87.659298333333169</v>
      </c>
      <c r="H51" s="30">
        <f t="shared" si="4"/>
        <v>87.659298333333169</v>
      </c>
      <c r="I51" s="30">
        <f t="shared" si="5"/>
        <v>85.326752037036925</v>
      </c>
      <c r="J51" s="30">
        <f>IF(B51="","",IF('Cumulative Volumes Imperial'!$AQ$17=FALSE,L51,K51))</f>
        <v>401.84438583333355</v>
      </c>
      <c r="K51" s="30">
        <f t="shared" si="6"/>
        <v>401.84438583333355</v>
      </c>
      <c r="L51" s="30">
        <f t="shared" si="7"/>
        <v>399.5118395370373</v>
      </c>
      <c r="M51" s="30">
        <f>IF($E$8+45+$E$9&gt;989,"FALSE",IF(B51="","",IF('Cumulative Volumes Imperial'!$AQ$17=FALSE,O51,N51)))</f>
        <v>17443.871378966662</v>
      </c>
      <c r="N51" s="30">
        <f t="shared" si="8"/>
        <v>17443.871378966662</v>
      </c>
      <c r="O51" s="30">
        <f>IF(B51=0,"",IF('Cumulative Volumes Imperial'!$AQ$17=FALSE,(V51*$E$4)+(W51*$E$5),N51))</f>
        <v>17443.871378966662</v>
      </c>
      <c r="P51" s="30">
        <f>IF(B51=0,"",(((1/12)*'Imperial Data'!$AC$4*'Imperial Data'!$AC$5)-C51)*$H$6)</f>
        <v>0.76551588133333226</v>
      </c>
      <c r="Q51" s="30">
        <f t="shared" si="9"/>
        <v>76.551588133333226</v>
      </c>
      <c r="R51" s="30">
        <f>IF(B51=0,"",(((1/12)*'Imperial Data'!$AC$5*'Imperial Data'!$AC$7)-D51)*$H$6)</f>
        <v>0.87751639037036977</v>
      </c>
      <c r="S51" s="30">
        <f t="shared" si="10"/>
        <v>8.7751639037036977</v>
      </c>
      <c r="T51" s="30">
        <f t="shared" si="0"/>
        <v>131.09114158</v>
      </c>
      <c r="U51" s="30">
        <f t="shared" si="1"/>
        <v>31.95603625</v>
      </c>
      <c r="V51" s="30">
        <f t="shared" si="11"/>
        <v>166.52140161466664</v>
      </c>
      <c r="W51" s="30">
        <f t="shared" si="12"/>
        <v>68.909918046296269</v>
      </c>
      <c r="X51" s="31">
        <f t="shared" si="2"/>
        <v>72.38414183096296</v>
      </c>
      <c r="Y51" s="30">
        <f t="shared" si="13"/>
        <v>103.66666666666667</v>
      </c>
    </row>
    <row r="52" spans="1:25" x14ac:dyDescent="0.2">
      <c r="A52" s="2">
        <v>39</v>
      </c>
      <c r="B52" s="34">
        <f t="shared" si="14"/>
        <v>43</v>
      </c>
      <c r="C52" s="30">
        <f>IF(B52=0,"",IF('Imperial Data'!AG41&gt;=1, INDEX(Imperial_Incremental[], MATCH('Imperial Data'!AG41, Imperial_Incremental[Height], 1), MATCH('Cumulative Volumes Imperial'!$F$4, Imperial_Incremental[#Headers], 0)), 0))</f>
        <v>3.1362803099999894</v>
      </c>
      <c r="D52" s="30">
        <f>IF(B52=0,"",IF('Imperial Data'!AG41&gt;=1, INDEX(Imperial_Incremental[], MATCH('Imperial Data'!AG41, Imperial_Incremental[Height], 1), MATCH('Cumulative Volumes Imperial'!$F$4 &amp; "EC", Imperial_Incremental[#Headers], 0)), 0))</f>
        <v>0.64308889999999863</v>
      </c>
      <c r="E52" s="30">
        <f t="shared" si="15"/>
        <v>313.62803099999894</v>
      </c>
      <c r="F52" s="30">
        <f t="shared" si="3"/>
        <v>6.4308889999999863</v>
      </c>
      <c r="G52" s="30">
        <f>IF(B52=0,"",IF('Cumulative Volumes Imperial'!$AQ$17=FALSE,I52,H52))</f>
        <v>85.309765333333743</v>
      </c>
      <c r="H52" s="30">
        <f t="shared" si="4"/>
        <v>85.309765333333743</v>
      </c>
      <c r="I52" s="30">
        <f t="shared" si="5"/>
        <v>82.9772190370375</v>
      </c>
      <c r="J52" s="30">
        <f>IF(B52="","",IF('Cumulative Volumes Imperial'!$AQ$17=FALSE,L52,K52))</f>
        <v>405.36868533333268</v>
      </c>
      <c r="K52" s="30">
        <f t="shared" si="6"/>
        <v>405.36868533333268</v>
      </c>
      <c r="L52" s="30">
        <f t="shared" si="7"/>
        <v>403.03613903703643</v>
      </c>
      <c r="M52" s="30">
        <f>IF($E$8+45+$E$9&gt;989,"FALSE",IF(B52="","",IF('Cumulative Volumes Imperial'!$AQ$17=FALSE,O52,N52)))</f>
        <v>17042.026993133328</v>
      </c>
      <c r="N52" s="30">
        <f t="shared" si="8"/>
        <v>17042.026993133328</v>
      </c>
      <c r="O52" s="30">
        <f>IF(B52=0,"",IF('Cumulative Volumes Imperial'!$AQ$17=FALSE,(V52*$E$4)+(W52*$E$5),N52))</f>
        <v>17042.026993133328</v>
      </c>
      <c r="P52" s="30">
        <f>IF(B52=0,"",(((1/12)*'Imperial Data'!$AC$4*'Imperial Data'!$AC$5)-C52)*$H$6)</f>
        <v>0.74245870933333791</v>
      </c>
      <c r="Q52" s="30">
        <f t="shared" si="9"/>
        <v>74.245870933333791</v>
      </c>
      <c r="R52" s="30">
        <f>IF(B52=0,"",(((1/12)*'Imperial Data'!$AC$5*'Imperial Data'!$AC$7)-D52)*$H$6)</f>
        <v>0.87313481037037077</v>
      </c>
      <c r="S52" s="30">
        <f t="shared" si="10"/>
        <v>8.7313481037037075</v>
      </c>
      <c r="T52" s="30">
        <f t="shared" si="0"/>
        <v>128.0125042</v>
      </c>
      <c r="U52" s="30">
        <f t="shared" si="1"/>
        <v>31.323901299999999</v>
      </c>
      <c r="V52" s="30">
        <f t="shared" si="11"/>
        <v>162.67724835333331</v>
      </c>
      <c r="W52" s="30">
        <f t="shared" si="12"/>
        <v>67.400266705925901</v>
      </c>
      <c r="X52" s="31">
        <f t="shared" si="2"/>
        <v>70.741109559259257</v>
      </c>
      <c r="Y52" s="30">
        <f t="shared" si="13"/>
        <v>103.58333333333333</v>
      </c>
    </row>
    <row r="53" spans="1:25" x14ac:dyDescent="0.2">
      <c r="A53" s="2">
        <v>40</v>
      </c>
      <c r="B53" s="34">
        <f t="shared" si="14"/>
        <v>42</v>
      </c>
      <c r="C53" s="30">
        <f>IF(B53=0,"",IF('Imperial Data'!AG42&gt;=1, INDEX(Imperial_Incremental[], MATCH('Imperial Data'!AG42, Imperial_Incremental[Height], 1), MATCH('Cumulative Volumes Imperial'!$F$4, Imperial_Incremental[#Headers], 0)), 0))</f>
        <v>3.1917693700000029</v>
      </c>
      <c r="D53" s="30">
        <f>IF(B53=0,"",IF('Imperial Data'!AG42&gt;=1, INDEX(Imperial_Incremental[], MATCH('Imperial Data'!AG42, Imperial_Incremental[Height], 1), MATCH('Cumulative Volumes Imperial'!$F$4 &amp; "EC", Imperial_Incremental[#Headers], 0)), 0))</f>
        <v>0.67730135000000047</v>
      </c>
      <c r="E53" s="30">
        <f t="shared" si="15"/>
        <v>319.17693700000029</v>
      </c>
      <c r="F53" s="30">
        <f t="shared" si="3"/>
        <v>6.7730135000000047</v>
      </c>
      <c r="G53" s="30">
        <f>IF(B53=0,"",IF('Cumulative Volumes Imperial'!$AQ$17=FALSE,I53,H53))</f>
        <v>82.953353133333195</v>
      </c>
      <c r="H53" s="30">
        <f t="shared" si="4"/>
        <v>82.953353133333195</v>
      </c>
      <c r="I53" s="30">
        <f t="shared" si="5"/>
        <v>80.620806837036952</v>
      </c>
      <c r="J53" s="30">
        <f>IF(B53="","",IF('Cumulative Volumes Imperial'!$AQ$17=FALSE,L53,K53))</f>
        <v>408.90330363333351</v>
      </c>
      <c r="K53" s="30">
        <f t="shared" si="6"/>
        <v>408.90330363333351</v>
      </c>
      <c r="L53" s="30">
        <f t="shared" si="7"/>
        <v>406.57075733703721</v>
      </c>
      <c r="M53" s="30">
        <f>IF($E$8+45+$E$9&gt;989,"FALSE",IF(B53="","",IF('Cumulative Volumes Imperial'!$AQ$17=FALSE,O53,N53)))</f>
        <v>16636.658307799997</v>
      </c>
      <c r="N53" s="30">
        <f t="shared" si="8"/>
        <v>16636.658307799997</v>
      </c>
      <c r="O53" s="30">
        <f>IF(B53=0,"",IF('Cumulative Volumes Imperial'!$AQ$17=FALSE,(V53*$E$4)+(W53*$E$5),N53))</f>
        <v>16636.658307799997</v>
      </c>
      <c r="P53" s="30">
        <f>IF(B53=0,"",(((1/12)*'Imperial Data'!$AC$4*'Imperial Data'!$AC$5)-C53)*$H$6)</f>
        <v>0.7202630853333325</v>
      </c>
      <c r="Q53" s="30">
        <f t="shared" si="9"/>
        <v>72.02630853333325</v>
      </c>
      <c r="R53" s="30">
        <f>IF(B53=0,"",(((1/12)*'Imperial Data'!$AC$5*'Imperial Data'!$AC$7)-D53)*$H$6)</f>
        <v>0.85944983037037004</v>
      </c>
      <c r="S53" s="30">
        <f t="shared" si="10"/>
        <v>8.5944983037037002</v>
      </c>
      <c r="T53" s="30">
        <f t="shared" si="0"/>
        <v>124.87622389000001</v>
      </c>
      <c r="U53" s="30">
        <f t="shared" si="1"/>
        <v>30.680812400000001</v>
      </c>
      <c r="V53" s="30">
        <f t="shared" si="11"/>
        <v>158.79850933399999</v>
      </c>
      <c r="W53" s="30">
        <f t="shared" si="12"/>
        <v>65.884042995555532</v>
      </c>
      <c r="X53" s="31">
        <f t="shared" si="2"/>
        <v>69.125516039555549</v>
      </c>
      <c r="Y53" s="30">
        <f t="shared" si="13"/>
        <v>103.5</v>
      </c>
    </row>
    <row r="54" spans="1:25" x14ac:dyDescent="0.2">
      <c r="A54" s="2">
        <v>41</v>
      </c>
      <c r="B54" s="34">
        <f t="shared" si="14"/>
        <v>41</v>
      </c>
      <c r="C54" s="30">
        <f>IF(B54=0,"",IF('Imperial Data'!AG43&gt;=1, INDEX(Imperial_Incremental[], MATCH('Imperial Data'!AG43, Imperial_Incremental[Height], 1), MATCH('Cumulative Volumes Imperial'!$F$4, Imperial_Incremental[#Headers], 0)), 0))</f>
        <v>3.2450176300000066</v>
      </c>
      <c r="D54" s="30">
        <f>IF(B54=0,"",IF('Imperial Data'!AG43&gt;=1, INDEX(Imperial_Incremental[], MATCH('Imperial Data'!AG43, Imperial_Incremental[Height], 1), MATCH('Cumulative Volumes Imperial'!$F$4 &amp; "EC", Imperial_Incremental[#Headers], 0)), 0))</f>
        <v>0.69982942000000037</v>
      </c>
      <c r="E54" s="30">
        <f t="shared" si="15"/>
        <v>324.50176300000066</v>
      </c>
      <c r="F54" s="30">
        <f t="shared" si="3"/>
        <v>6.9982942000000037</v>
      </c>
      <c r="G54" s="30">
        <f>IF(B54=0,"",IF('Cumulative Volumes Imperial'!$AQ$17=FALSE,I54,H54))</f>
        <v>80.733310453333033</v>
      </c>
      <c r="H54" s="30">
        <f t="shared" si="4"/>
        <v>80.733310453333033</v>
      </c>
      <c r="I54" s="30">
        <f t="shared" si="5"/>
        <v>78.400764157036804</v>
      </c>
      <c r="J54" s="30">
        <f>IF(B54="","",IF('Cumulative Volumes Imperial'!$AQ$17=FALSE,L54,K54))</f>
        <v>412.23336765333369</v>
      </c>
      <c r="K54" s="30">
        <f t="shared" si="6"/>
        <v>412.23336765333369</v>
      </c>
      <c r="L54" s="30">
        <f t="shared" si="7"/>
        <v>409.9008213570375</v>
      </c>
      <c r="M54" s="30">
        <f>IF($E$8+45+$E$9&gt;989,"FALSE",IF(B54="","",IF('Cumulative Volumes Imperial'!$AQ$17=FALSE,O54,N54)))</f>
        <v>16227.755004166664</v>
      </c>
      <c r="N54" s="30">
        <f t="shared" si="8"/>
        <v>16227.755004166664</v>
      </c>
      <c r="O54" s="30">
        <f>IF(B54=0,"",IF('Cumulative Volumes Imperial'!$AQ$17=FALSE,(V54*$E$4)+(W54*$E$5),N54))</f>
        <v>16227.755004166664</v>
      </c>
      <c r="P54" s="30">
        <f>IF(B54=0,"",(((1/12)*'Imperial Data'!$AC$4*'Imperial Data'!$AC$5)-C54)*$H$6)</f>
        <v>0.69896378133333104</v>
      </c>
      <c r="Q54" s="30">
        <f t="shared" si="9"/>
        <v>69.896378133333101</v>
      </c>
      <c r="R54" s="30">
        <f>IF(B54=0,"",(((1/12)*'Imperial Data'!$AC$5*'Imperial Data'!$AC$7)-D54)*$H$6)</f>
        <v>0.85043860237037006</v>
      </c>
      <c r="S54" s="30">
        <f t="shared" si="10"/>
        <v>8.5043860237037006</v>
      </c>
      <c r="T54" s="30">
        <f t="shared" si="0"/>
        <v>121.68445452</v>
      </c>
      <c r="U54" s="30">
        <f t="shared" si="1"/>
        <v>30.00351105</v>
      </c>
      <c r="V54" s="30">
        <f t="shared" si="11"/>
        <v>154.88647687866666</v>
      </c>
      <c r="W54" s="30">
        <f t="shared" si="12"/>
        <v>64.347291815185173</v>
      </c>
      <c r="X54" s="31">
        <f t="shared" si="2"/>
        <v>67.545803123851854</v>
      </c>
      <c r="Y54" s="30">
        <f t="shared" si="13"/>
        <v>103.41666666666667</v>
      </c>
    </row>
    <row r="55" spans="1:25" x14ac:dyDescent="0.2">
      <c r="A55" s="2">
        <v>42</v>
      </c>
      <c r="B55" s="34">
        <f t="shared" si="14"/>
        <v>40</v>
      </c>
      <c r="C55" s="30">
        <f>IF(B55=0,"",IF('Imperial Data'!AG44&gt;=1, INDEX(Imperial_Incremental[], MATCH('Imperial Data'!AG44, Imperial_Incremental[Height], 1), MATCH('Cumulative Volumes Imperial'!$F$4, Imperial_Incremental[#Headers], 0)), 0))</f>
        <v>3.2963179599999961</v>
      </c>
      <c r="D55" s="30">
        <f>IF(B55=0,"",IF('Imperial Data'!AG44&gt;=1, INDEX(Imperial_Incremental[], MATCH('Imperial Data'!AG44, Imperial_Incremental[Height], 1), MATCH('Cumulative Volumes Imperial'!$F$4 &amp; "EC", Imperial_Incremental[#Headers], 0)), 0))</f>
        <v>0.7224001400000013</v>
      </c>
      <c r="E55" s="30">
        <f t="shared" si="15"/>
        <v>329.63179599999961</v>
      </c>
      <c r="F55" s="30">
        <f t="shared" si="3"/>
        <v>7.224001400000013</v>
      </c>
      <c r="G55" s="30">
        <f>IF(B55=0,"",IF('Cumulative Volumes Imperial'!$AQ$17=FALSE,I55,H55))</f>
        <v>78.591014373333451</v>
      </c>
      <c r="H55" s="30">
        <f t="shared" si="4"/>
        <v>78.591014373333451</v>
      </c>
      <c r="I55" s="30">
        <f t="shared" si="5"/>
        <v>76.258468077037222</v>
      </c>
      <c r="J55" s="30">
        <f>IF(B55="","",IF('Cumulative Volumes Imperial'!$AQ$17=FALSE,L55,K55))</f>
        <v>415.44681177333308</v>
      </c>
      <c r="K55" s="30">
        <f t="shared" si="6"/>
        <v>415.44681177333308</v>
      </c>
      <c r="L55" s="30">
        <f t="shared" si="7"/>
        <v>413.11426547703684</v>
      </c>
      <c r="M55" s="30">
        <f>IF($E$8+45+$E$9&gt;989,"FALSE",IF(B55="","",IF('Cumulative Volumes Imperial'!$AQ$17=FALSE,O55,N55)))</f>
        <v>15815.521636513329</v>
      </c>
      <c r="N55" s="30">
        <f t="shared" si="8"/>
        <v>15815.521636513329</v>
      </c>
      <c r="O55" s="30">
        <f>IF(B55=0,"",IF('Cumulative Volumes Imperial'!$AQ$17=FALSE,(V55*$E$4)+(W55*$E$5),N55))</f>
        <v>15815.521636513329</v>
      </c>
      <c r="P55" s="30">
        <f>IF(B55=0,"",(((1/12)*'Imperial Data'!$AC$4*'Imperial Data'!$AC$5)-C55)*$H$6)</f>
        <v>0.67844364933333523</v>
      </c>
      <c r="Q55" s="30">
        <f t="shared" si="9"/>
        <v>67.844364933333523</v>
      </c>
      <c r="R55" s="30">
        <f>IF(B55=0,"",(((1/12)*'Imperial Data'!$AC$5*'Imperial Data'!$AC$7)-D55)*$H$6)</f>
        <v>0.84141031437036973</v>
      </c>
      <c r="S55" s="30">
        <f t="shared" si="10"/>
        <v>8.4141031437036968</v>
      </c>
      <c r="T55" s="30">
        <f t="shared" si="0"/>
        <v>118.43943689</v>
      </c>
      <c r="U55" s="30">
        <f t="shared" si="1"/>
        <v>29.30368163</v>
      </c>
      <c r="V55" s="30">
        <f t="shared" si="11"/>
        <v>150.94249546733332</v>
      </c>
      <c r="W55" s="30">
        <f t="shared" si="12"/>
        <v>62.797023792814805</v>
      </c>
      <c r="X55" s="31">
        <f t="shared" si="2"/>
        <v>65.996400740148147</v>
      </c>
      <c r="Y55" s="30">
        <f t="shared" si="13"/>
        <v>103.33333333333333</v>
      </c>
    </row>
    <row r="56" spans="1:25" x14ac:dyDescent="0.2">
      <c r="A56" s="2">
        <v>43</v>
      </c>
      <c r="B56" s="34">
        <f t="shared" si="14"/>
        <v>39</v>
      </c>
      <c r="C56" s="30">
        <f>IF(B56=0,"",IF('Imperial Data'!AG45&gt;=1, INDEX(Imperial_Incremental[], MATCH('Imperial Data'!AG45, Imperial_Incremental[Height], 1), MATCH('Cumulative Volumes Imperial'!$F$4, Imperial_Incremental[#Headers], 0)), 0))</f>
        <v>3.3456159200000002</v>
      </c>
      <c r="D56" s="30">
        <f>IF(B56=0,"",IF('Imperial Data'!AG45&gt;=1, INDEX(Imperial_Incremental[], MATCH('Imperial Data'!AG45, Imperial_Incremental[Height], 1), MATCH('Cumulative Volumes Imperial'!$F$4 &amp; "EC", Imperial_Incremental[#Headers], 0)), 0))</f>
        <v>0.74372710999999825</v>
      </c>
      <c r="E56" s="30">
        <f t="shared" si="15"/>
        <v>334.56159200000002</v>
      </c>
      <c r="F56" s="30">
        <f t="shared" si="3"/>
        <v>7.4372710999999825</v>
      </c>
      <c r="G56" s="30">
        <f>IF(B56=0,"",IF('Cumulative Volumes Imperial'!$AQ$17=FALSE,I56,H56))</f>
        <v>76.533788093333314</v>
      </c>
      <c r="H56" s="30">
        <f t="shared" si="4"/>
        <v>76.533788093333314</v>
      </c>
      <c r="I56" s="30">
        <f t="shared" si="5"/>
        <v>74.201241797037071</v>
      </c>
      <c r="J56" s="30">
        <f>IF(B56="","",IF('Cumulative Volumes Imperial'!$AQ$17=FALSE,L56,K56))</f>
        <v>418.53265119333332</v>
      </c>
      <c r="K56" s="30">
        <f t="shared" si="6"/>
        <v>418.53265119333332</v>
      </c>
      <c r="L56" s="30">
        <f t="shared" si="7"/>
        <v>416.20010489703708</v>
      </c>
      <c r="M56" s="30">
        <f>IF($E$8+45+$E$9&gt;989,"FALSE",IF(B56="","",IF('Cumulative Volumes Imperial'!$AQ$17=FALSE,O56,N56)))</f>
        <v>15400.074824739997</v>
      </c>
      <c r="N56" s="30">
        <f t="shared" si="8"/>
        <v>15400.074824739997</v>
      </c>
      <c r="O56" s="30">
        <f>IF(B56=0,"",IF('Cumulative Volumes Imperial'!$AQ$17=FALSE,(V56*$E$4)+(W56*$E$5),N56))</f>
        <v>15400.074824739997</v>
      </c>
      <c r="P56" s="30">
        <f>IF(B56=0,"",(((1/12)*'Imperial Data'!$AC$4*'Imperial Data'!$AC$5)-C56)*$H$6)</f>
        <v>0.65872446533333362</v>
      </c>
      <c r="Q56" s="30">
        <f t="shared" si="9"/>
        <v>65.87244653333336</v>
      </c>
      <c r="R56" s="30">
        <f>IF(B56=0,"",(((1/12)*'Imperial Data'!$AC$5*'Imperial Data'!$AC$7)-D56)*$H$6)</f>
        <v>0.83287952637037099</v>
      </c>
      <c r="S56" s="30">
        <f t="shared" si="10"/>
        <v>8.3287952637037108</v>
      </c>
      <c r="T56" s="30">
        <f t="shared" si="0"/>
        <v>115.14311893</v>
      </c>
      <c r="U56" s="30">
        <f t="shared" si="1"/>
        <v>28.581281489999999</v>
      </c>
      <c r="V56" s="30">
        <f t="shared" si="11"/>
        <v>146.96773385799997</v>
      </c>
      <c r="W56" s="30">
        <f t="shared" si="12"/>
        <v>61.233213338444436</v>
      </c>
      <c r="X56" s="31">
        <f t="shared" si="2"/>
        <v>64.476546776444451</v>
      </c>
      <c r="Y56" s="30">
        <f t="shared" si="13"/>
        <v>103.25</v>
      </c>
    </row>
    <row r="57" spans="1:25" x14ac:dyDescent="0.2">
      <c r="A57" s="2">
        <v>44</v>
      </c>
      <c r="B57" s="34">
        <f t="shared" si="14"/>
        <v>38</v>
      </c>
      <c r="C57" s="30">
        <f>IF(B57=0,"",IF('Imperial Data'!AG46&gt;=1, INDEX(Imperial_Incremental[], MATCH('Imperial Data'!AG46, Imperial_Incremental[Height], 1), MATCH('Cumulative Volumes Imperial'!$F$4, Imperial_Incremental[#Headers], 0)), 0))</f>
        <v>3.3931099800000055</v>
      </c>
      <c r="D57" s="30">
        <f>IF(B57=0,"",IF('Imperial Data'!AG46&gt;=1, INDEX(Imperial_Incremental[], MATCH('Imperial Data'!AG46, Imperial_Incremental[Height], 1), MATCH('Cumulative Volumes Imperial'!$F$4 &amp; "EC", Imperial_Incremental[#Headers], 0)), 0))</f>
        <v>0.76446604999999934</v>
      </c>
      <c r="E57" s="30">
        <f t="shared" si="15"/>
        <v>339.31099800000055</v>
      </c>
      <c r="F57" s="30">
        <f t="shared" si="3"/>
        <v>7.6446604999999934</v>
      </c>
      <c r="G57" s="30">
        <f>IF(B57=0,"",IF('Cumulative Volumes Imperial'!$AQ$17=FALSE,I57,H57))</f>
        <v>74.551069933333096</v>
      </c>
      <c r="H57" s="30">
        <f t="shared" si="4"/>
        <v>74.551069933333096</v>
      </c>
      <c r="I57" s="30">
        <f t="shared" si="5"/>
        <v>72.218523637036853</v>
      </c>
      <c r="J57" s="30">
        <f>IF(B57="","",IF('Cumulative Volumes Imperial'!$AQ$17=FALSE,L57,K57))</f>
        <v>421.50672843333365</v>
      </c>
      <c r="K57" s="30">
        <f t="shared" si="6"/>
        <v>421.50672843333365</v>
      </c>
      <c r="L57" s="30">
        <f t="shared" si="7"/>
        <v>419.17418213703741</v>
      </c>
      <c r="M57" s="30">
        <f>IF($E$8+45+$E$9&gt;989,"FALSE",IF(B57="","",IF('Cumulative Volumes Imperial'!$AQ$17=FALSE,O57,N57)))</f>
        <v>14981.542173546664</v>
      </c>
      <c r="N57" s="30">
        <f t="shared" si="8"/>
        <v>14981.542173546664</v>
      </c>
      <c r="O57" s="30">
        <f>IF(B57=0,"",IF('Cumulative Volumes Imperial'!$AQ$17=FALSE,(V57*$E$4)+(W57*$E$5),N57))</f>
        <v>14981.542173546664</v>
      </c>
      <c r="P57" s="30">
        <f>IF(B57=0,"",(((1/12)*'Imperial Data'!$AC$4*'Imperial Data'!$AC$5)-C57)*$H$6)</f>
        <v>0.63972684133333146</v>
      </c>
      <c r="Q57" s="30">
        <f t="shared" si="9"/>
        <v>63.972684133333146</v>
      </c>
      <c r="R57" s="30">
        <f>IF(B57=0,"",(((1/12)*'Imperial Data'!$AC$5*'Imperial Data'!$AC$7)-D57)*$H$6)</f>
        <v>0.82458395037037047</v>
      </c>
      <c r="S57" s="30">
        <f t="shared" si="10"/>
        <v>8.2458395037037047</v>
      </c>
      <c r="T57" s="30">
        <f t="shared" si="0"/>
        <v>111.79750301</v>
      </c>
      <c r="U57" s="30">
        <f t="shared" si="1"/>
        <v>27.83755438</v>
      </c>
      <c r="V57" s="30">
        <f t="shared" si="11"/>
        <v>142.96339347266664</v>
      </c>
      <c r="W57" s="30">
        <f t="shared" si="12"/>
        <v>59.656606702074072</v>
      </c>
      <c r="X57" s="31">
        <f t="shared" si="2"/>
        <v>62.984942784740738</v>
      </c>
      <c r="Y57" s="30">
        <f t="shared" si="13"/>
        <v>103.16666666666667</v>
      </c>
    </row>
    <row r="58" spans="1:25" x14ac:dyDescent="0.2">
      <c r="A58" s="2">
        <v>45</v>
      </c>
      <c r="B58" s="34">
        <f t="shared" si="14"/>
        <v>37</v>
      </c>
      <c r="C58" s="30">
        <f>IF(B58=0,"",IF('Imperial Data'!AG47&gt;=1, INDEX(Imperial_Incremental[], MATCH('Imperial Data'!AG47, Imperial_Incremental[Height], 1), MATCH('Cumulative Volumes Imperial'!$F$4, Imperial_Incremental[#Headers], 0)), 0))</f>
        <v>3.4388515200000001</v>
      </c>
      <c r="D58" s="30">
        <f>IF(B58=0,"",IF('Imperial Data'!AG47&gt;=1, INDEX(Imperial_Incremental[], MATCH('Imperial Data'!AG47, Imperial_Incremental[Height], 1), MATCH('Cumulative Volumes Imperial'!$F$4 &amp; "EC", Imperial_Incremental[#Headers], 0)), 0))</f>
        <v>0.7855190400000005</v>
      </c>
      <c r="E58" s="30">
        <f t="shared" si="15"/>
        <v>343.88515200000001</v>
      </c>
      <c r="F58" s="30">
        <f t="shared" si="3"/>
        <v>7.855190400000005</v>
      </c>
      <c r="G58" s="30">
        <f>IF(B58=0,"",IF('Cumulative Volumes Imperial'!$AQ$17=FALSE,I58,H58))</f>
        <v>72.637196373333296</v>
      </c>
      <c r="H58" s="30">
        <f t="shared" si="4"/>
        <v>72.637196373333296</v>
      </c>
      <c r="I58" s="30">
        <f t="shared" si="5"/>
        <v>70.304650077037067</v>
      </c>
      <c r="J58" s="30">
        <f>IF(B58="","",IF('Cumulative Volumes Imperial'!$AQ$17=FALSE,L58,K58))</f>
        <v>424.3775387733333</v>
      </c>
      <c r="K58" s="30">
        <f t="shared" si="6"/>
        <v>424.3775387733333</v>
      </c>
      <c r="L58" s="30">
        <f t="shared" si="7"/>
        <v>422.04499247703711</v>
      </c>
      <c r="M58" s="30">
        <f>IF($E$8+45+$E$9&gt;989,"FALSE",IF(B58="","",IF('Cumulative Volumes Imperial'!$AQ$17=FALSE,O58,N58)))</f>
        <v>14560.03544511333</v>
      </c>
      <c r="N58" s="30">
        <f t="shared" si="8"/>
        <v>14560.03544511333</v>
      </c>
      <c r="O58" s="30">
        <f>IF(B58=0,"",IF('Cumulative Volumes Imperial'!$AQ$17=FALSE,(V58*$E$4)+(W58*$E$5),N58))</f>
        <v>14560.03544511333</v>
      </c>
      <c r="P58" s="30">
        <f>IF(B58=0,"",(((1/12)*'Imperial Data'!$AC$4*'Imperial Data'!$AC$5)-C58)*$H$6)</f>
        <v>0.6214302253333337</v>
      </c>
      <c r="Q58" s="30">
        <f t="shared" si="9"/>
        <v>62.143022533333372</v>
      </c>
      <c r="R58" s="30">
        <f>IF(B58=0,"",(((1/12)*'Imperial Data'!$AC$5*'Imperial Data'!$AC$7)-D58)*$H$6)</f>
        <v>0.81616275437037</v>
      </c>
      <c r="S58" s="30">
        <f t="shared" si="10"/>
        <v>8.1616275437037</v>
      </c>
      <c r="T58" s="30">
        <f t="shared" si="0"/>
        <v>108.40439302999999</v>
      </c>
      <c r="U58" s="30">
        <f t="shared" si="1"/>
        <v>27.073088330000001</v>
      </c>
      <c r="V58" s="30">
        <f t="shared" si="11"/>
        <v>138.93055665133332</v>
      </c>
      <c r="W58" s="30">
        <f t="shared" si="12"/>
        <v>58.067556701703708</v>
      </c>
      <c r="X58" s="31">
        <f t="shared" si="2"/>
        <v>61.520631993037043</v>
      </c>
      <c r="Y58" s="30">
        <f t="shared" si="13"/>
        <v>103.08333333333333</v>
      </c>
    </row>
    <row r="59" spans="1:25" x14ac:dyDescent="0.2">
      <c r="A59" s="2">
        <v>46</v>
      </c>
      <c r="B59" s="34">
        <f t="shared" si="14"/>
        <v>36</v>
      </c>
      <c r="C59" s="30">
        <f>IF(B59=0,"",IF('Imperial Data'!AG48&gt;=1, INDEX(Imperial_Incremental[], MATCH('Imperial Data'!AG48, Imperial_Incremental[Height], 1), MATCH('Cumulative Volumes Imperial'!$F$4, Imperial_Incremental[#Headers], 0)), 0))</f>
        <v>3.4828802799999892</v>
      </c>
      <c r="D59" s="30">
        <f>IF(B59=0,"",IF('Imperial Data'!AG48&gt;=1, INDEX(Imperial_Incremental[], MATCH('Imperial Data'!AG48, Imperial_Incremental[Height], 1), MATCH('Cumulative Volumes Imperial'!$F$4 &amp; "EC", Imperial_Incremental[#Headers], 0)), 0))</f>
        <v>0.80270133000000143</v>
      </c>
      <c r="E59" s="30">
        <f t="shared" si="15"/>
        <v>348.28802799999892</v>
      </c>
      <c r="F59" s="30">
        <f t="shared" si="3"/>
        <v>8.0270133000000143</v>
      </c>
      <c r="G59" s="30">
        <f>IF(B59=0,"",IF('Cumulative Volumes Imperial'!$AQ$17=FALSE,I59,H59))</f>
        <v>70.807316813333728</v>
      </c>
      <c r="H59" s="30">
        <f t="shared" si="4"/>
        <v>70.807316813333728</v>
      </c>
      <c r="I59" s="30">
        <f t="shared" si="5"/>
        <v>68.474770517037499</v>
      </c>
      <c r="J59" s="30">
        <f>IF(B59="","",IF('Cumulative Volumes Imperial'!$AQ$17=FALSE,L59,K59))</f>
        <v>427.12235811333267</v>
      </c>
      <c r="K59" s="30">
        <f t="shared" si="6"/>
        <v>427.12235811333267</v>
      </c>
      <c r="L59" s="30">
        <f t="shared" si="7"/>
        <v>424.78981181703642</v>
      </c>
      <c r="M59" s="30">
        <f>IF($E$8+45+$E$9&gt;989,"FALSE",IF(B59="","",IF('Cumulative Volumes Imperial'!$AQ$17=FALSE,O59,N59)))</f>
        <v>14135.657906339997</v>
      </c>
      <c r="N59" s="30">
        <f t="shared" si="8"/>
        <v>14135.657906339997</v>
      </c>
      <c r="O59" s="30">
        <f>IF(B59=0,"",IF('Cumulative Volumes Imperial'!$AQ$17=FALSE,(V59*$E$4)+(W59*$E$5),N59))</f>
        <v>14135.657906339997</v>
      </c>
      <c r="P59" s="30">
        <f>IF(B59=0,"",(((1/12)*'Imperial Data'!$AC$4*'Imperial Data'!$AC$5)-C59)*$H$6)</f>
        <v>0.60381872133333803</v>
      </c>
      <c r="Q59" s="30">
        <f t="shared" si="9"/>
        <v>60.3818721333338</v>
      </c>
      <c r="R59" s="30">
        <f>IF(B59=0,"",(((1/12)*'Imperial Data'!$AC$5*'Imperial Data'!$AC$7)-D59)*$H$6)</f>
        <v>0.80928983837036972</v>
      </c>
      <c r="S59" s="30">
        <f t="shared" si="10"/>
        <v>8.0928983837036981</v>
      </c>
      <c r="T59" s="30">
        <f t="shared" si="0"/>
        <v>104.96554150999999</v>
      </c>
      <c r="U59" s="30">
        <f t="shared" si="1"/>
        <v>26.28756929</v>
      </c>
      <c r="V59" s="30">
        <f t="shared" si="11"/>
        <v>134.87027490599999</v>
      </c>
      <c r="W59" s="30">
        <f t="shared" si="12"/>
        <v>56.465874907333337</v>
      </c>
      <c r="X59" s="31">
        <f t="shared" si="2"/>
        <v>60.083039013333341</v>
      </c>
      <c r="Y59" s="30">
        <f t="shared" si="13"/>
        <v>103</v>
      </c>
    </row>
    <row r="60" spans="1:25" x14ac:dyDescent="0.2">
      <c r="A60" s="2">
        <v>47</v>
      </c>
      <c r="B60" s="34">
        <f t="shared" si="14"/>
        <v>35</v>
      </c>
      <c r="C60" s="30">
        <f>IF(B60=0,"",IF('Imperial Data'!AG49&gt;=1, INDEX(Imperial_Incremental[], MATCH('Imperial Data'!AG49, Imperial_Incremental[Height], 1), MATCH('Cumulative Volumes Imperial'!$F$4, Imperial_Incremental[#Headers], 0)), 0))</f>
        <v>3.5253571800000003</v>
      </c>
      <c r="D60" s="30">
        <f>IF(B60=0,"",IF('Imperial Data'!AG49&gt;=1, INDEX(Imperial_Incremental[], MATCH('Imperial Data'!AG49, Imperial_Incremental[Height], 1), MATCH('Cumulative Volumes Imperial'!$F$4 &amp; "EC", Imperial_Incremental[#Headers], 0)), 0))</f>
        <v>0.81994934999999813</v>
      </c>
      <c r="E60" s="30">
        <f t="shared" si="15"/>
        <v>352.53571800000003</v>
      </c>
      <c r="F60" s="30">
        <f t="shared" si="3"/>
        <v>8.1994934999999813</v>
      </c>
      <c r="G60" s="30">
        <f>IF(B60=0,"",IF('Cumulative Volumes Imperial'!$AQ$17=FALSE,I60,H60))</f>
        <v>69.039248733333309</v>
      </c>
      <c r="H60" s="30">
        <f t="shared" si="4"/>
        <v>69.039248733333309</v>
      </c>
      <c r="I60" s="30">
        <f t="shared" si="5"/>
        <v>66.706702437037066</v>
      </c>
      <c r="J60" s="30">
        <f>IF(B60="","",IF('Cumulative Volumes Imperial'!$AQ$17=FALSE,L60,K60))</f>
        <v>429.77446023333334</v>
      </c>
      <c r="K60" s="30">
        <f t="shared" si="6"/>
        <v>429.77446023333334</v>
      </c>
      <c r="L60" s="30">
        <f t="shared" si="7"/>
        <v>427.44191393703704</v>
      </c>
      <c r="M60" s="30">
        <f>IF($E$8+45+$E$9&gt;989,"FALSE",IF(B60="","",IF('Cumulative Volumes Imperial'!$AQ$17=FALSE,O60,N60)))</f>
        <v>13708.535548226664</v>
      </c>
      <c r="N60" s="30">
        <f t="shared" si="8"/>
        <v>13708.535548226664</v>
      </c>
      <c r="O60" s="30">
        <f>IF(B60=0,"",IF('Cumulative Volumes Imperial'!$AQ$17=FALSE,(V60*$E$4)+(W60*$E$5),N60))</f>
        <v>13708.535548226664</v>
      </c>
      <c r="P60" s="30">
        <f>IF(B60=0,"",(((1/12)*'Imperial Data'!$AC$4*'Imperial Data'!$AC$5)-C60)*$H$6)</f>
        <v>0.58682796133333359</v>
      </c>
      <c r="Q60" s="30">
        <f t="shared" si="9"/>
        <v>58.682796133333362</v>
      </c>
      <c r="R60" s="30">
        <f>IF(B60=0,"",(((1/12)*'Imperial Data'!$AC$5*'Imperial Data'!$AC$7)-D60)*$H$6)</f>
        <v>0.80239063037037095</v>
      </c>
      <c r="S60" s="30">
        <f t="shared" si="10"/>
        <v>8.0239063037037095</v>
      </c>
      <c r="T60" s="30">
        <f t="shared" si="0"/>
        <v>101.48266123000001</v>
      </c>
      <c r="U60" s="30">
        <f t="shared" si="1"/>
        <v>25.484867959999999</v>
      </c>
      <c r="V60" s="30">
        <f t="shared" si="11"/>
        <v>130.78357590466666</v>
      </c>
      <c r="W60" s="30">
        <f t="shared" si="12"/>
        <v>54.853883738962963</v>
      </c>
      <c r="X60" s="31">
        <f t="shared" si="2"/>
        <v>58.669930453629632</v>
      </c>
      <c r="Y60" s="30">
        <f t="shared" si="13"/>
        <v>102.91666666666667</v>
      </c>
    </row>
    <row r="61" spans="1:25" x14ac:dyDescent="0.2">
      <c r="A61" s="2">
        <v>48</v>
      </c>
      <c r="B61" s="34">
        <f t="shared" si="14"/>
        <v>34</v>
      </c>
      <c r="C61" s="30">
        <f>IF(B61=0,"",IF('Imperial Data'!AG50&gt;=1, INDEX(Imperial_Incremental[], MATCH('Imperial Data'!AG50, Imperial_Incremental[Height], 1), MATCH('Cumulative Volumes Imperial'!$F$4, Imperial_Incremental[#Headers], 0)), 0))</f>
        <v>3.5661732399999977</v>
      </c>
      <c r="D61" s="30">
        <f>IF(B61=0,"",IF('Imperial Data'!AG50&gt;=1, INDEX(Imperial_Incremental[], MATCH('Imperial Data'!AG50, Imperial_Incremental[Height], 1), MATCH('Cumulative Volumes Imperial'!$F$4 &amp; "EC", Imperial_Incremental[#Headers], 0)), 0))</f>
        <v>0.83850926999999942</v>
      </c>
      <c r="E61" s="30">
        <f t="shared" si="15"/>
        <v>356.61732399999977</v>
      </c>
      <c r="F61" s="30">
        <f t="shared" si="3"/>
        <v>8.3850926999999942</v>
      </c>
      <c r="G61" s="30">
        <f>IF(B61=0,"",IF('Cumulative Volumes Imperial'!$AQ$17=FALSE,I61,H61))</f>
        <v>67.332366653333409</v>
      </c>
      <c r="H61" s="30">
        <f t="shared" si="4"/>
        <v>67.332366653333409</v>
      </c>
      <c r="I61" s="30">
        <f t="shared" si="5"/>
        <v>64.999820357037166</v>
      </c>
      <c r="J61" s="30">
        <f>IF(B61="","",IF('Cumulative Volumes Imperial'!$AQ$17=FALSE,L61,K61))</f>
        <v>432.33478335333314</v>
      </c>
      <c r="K61" s="30">
        <f t="shared" si="6"/>
        <v>432.33478335333314</v>
      </c>
      <c r="L61" s="30">
        <f t="shared" si="7"/>
        <v>430.00223705703689</v>
      </c>
      <c r="M61" s="30">
        <f>IF($E$8+45+$E$9&gt;989,"FALSE",IF(B61="","",IF('Cumulative Volumes Imperial'!$AQ$17=FALSE,O61,N61)))</f>
        <v>13278.761087993331</v>
      </c>
      <c r="N61" s="30">
        <f t="shared" si="8"/>
        <v>13278.761087993331</v>
      </c>
      <c r="O61" s="30">
        <f>IF(B61=0,"",IF('Cumulative Volumes Imperial'!$AQ$17=FALSE,(V61*$E$4)+(W61*$E$5),N61))</f>
        <v>13278.761087993331</v>
      </c>
      <c r="P61" s="30">
        <f>IF(B61=0,"",(((1/12)*'Imperial Data'!$AC$4*'Imperial Data'!$AC$5)-C61)*$H$6)</f>
        <v>0.57050153733333464</v>
      </c>
      <c r="Q61" s="30">
        <f t="shared" si="9"/>
        <v>57.050153733333467</v>
      </c>
      <c r="R61" s="30">
        <f>IF(B61=0,"",(((1/12)*'Imperial Data'!$AC$5*'Imperial Data'!$AC$7)-D61)*$H$6)</f>
        <v>0.7949666623703705</v>
      </c>
      <c r="S61" s="30">
        <f t="shared" si="10"/>
        <v>7.9496666237037052</v>
      </c>
      <c r="T61" s="30">
        <f t="shared" si="0"/>
        <v>97.957304050000005</v>
      </c>
      <c r="U61" s="30">
        <f t="shared" si="1"/>
        <v>24.664918610000001</v>
      </c>
      <c r="V61" s="30">
        <f t="shared" si="11"/>
        <v>126.67139076333333</v>
      </c>
      <c r="W61" s="30">
        <f t="shared" si="12"/>
        <v>53.231543758592593</v>
      </c>
      <c r="X61" s="31">
        <f t="shared" si="2"/>
        <v>57.28071186192593</v>
      </c>
      <c r="Y61" s="30">
        <f t="shared" si="13"/>
        <v>102.83333333333333</v>
      </c>
    </row>
    <row r="62" spans="1:25" x14ac:dyDescent="0.2">
      <c r="A62" s="2">
        <v>49</v>
      </c>
      <c r="B62" s="34">
        <f t="shared" si="14"/>
        <v>33</v>
      </c>
      <c r="C62" s="30">
        <f>IF(B62=0,"",IF('Imperial Data'!AG51&gt;=1, INDEX(Imperial_Incremental[], MATCH('Imperial Data'!AG51, Imperial_Incremental[Height], 1), MATCH('Cumulative Volumes Imperial'!$F$4, Imperial_Incremental[#Headers], 0)), 0))</f>
        <v>3.6055836100000107</v>
      </c>
      <c r="D62" s="30">
        <f>IF(B62=0,"",IF('Imperial Data'!AG51&gt;=1, INDEX(Imperial_Incremental[], MATCH('Imperial Data'!AG51, Imperial_Incremental[Height], 1), MATCH('Cumulative Volumes Imperial'!$F$4 &amp; "EC", Imperial_Incremental[#Headers], 0)), 0))</f>
        <v>0.8512516699999999</v>
      </c>
      <c r="E62" s="30">
        <f t="shared" si="15"/>
        <v>360.55836100000107</v>
      </c>
      <c r="F62" s="30">
        <f t="shared" si="3"/>
        <v>8.512516699999999</v>
      </c>
      <c r="G62" s="30">
        <f>IF(B62=0,"",IF('Cumulative Volumes Imperial'!$AQ$17=FALSE,I62,H62))</f>
        <v>65.704982253332886</v>
      </c>
      <c r="H62" s="30">
        <f t="shared" si="4"/>
        <v>65.704982253332886</v>
      </c>
      <c r="I62" s="30">
        <f t="shared" si="5"/>
        <v>63.372435957036643</v>
      </c>
      <c r="J62" s="30">
        <f>IF(B62="","",IF('Cumulative Volumes Imperial'!$AQ$17=FALSE,L62,K62))</f>
        <v>434.77585995333396</v>
      </c>
      <c r="K62" s="30">
        <f t="shared" si="6"/>
        <v>434.77585995333396</v>
      </c>
      <c r="L62" s="30">
        <f t="shared" si="7"/>
        <v>432.44331365703772</v>
      </c>
      <c r="M62" s="30">
        <f>IF($E$8+45+$E$9&gt;989,"FALSE",IF(B62="","",IF('Cumulative Volumes Imperial'!$AQ$17=FALSE,O62,N62)))</f>
        <v>12846.426304639997</v>
      </c>
      <c r="N62" s="30">
        <f t="shared" si="8"/>
        <v>12846.426304639997</v>
      </c>
      <c r="O62" s="30">
        <f>IF(B62=0,"",IF('Cumulative Volumes Imperial'!$AQ$17=FALSE,(V62*$E$4)+(W62*$E$5),N62))</f>
        <v>12846.426304639997</v>
      </c>
      <c r="P62" s="30">
        <f>IF(B62=0,"",(((1/12)*'Imperial Data'!$AC$4*'Imperial Data'!$AC$5)-C62)*$H$6)</f>
        <v>0.55473738933332939</v>
      </c>
      <c r="Q62" s="30">
        <f t="shared" si="9"/>
        <v>55.473738933332939</v>
      </c>
      <c r="R62" s="30">
        <f>IF(B62=0,"",(((1/12)*'Imperial Data'!$AC$5*'Imperial Data'!$AC$7)-D62)*$H$6)</f>
        <v>0.78986970237037024</v>
      </c>
      <c r="S62" s="30">
        <f t="shared" si="10"/>
        <v>7.8986970237037024</v>
      </c>
      <c r="T62" s="30">
        <f t="shared" si="0"/>
        <v>94.391130810000007</v>
      </c>
      <c r="U62" s="30">
        <f t="shared" si="1"/>
        <v>23.826409340000001</v>
      </c>
      <c r="V62" s="30">
        <f t="shared" si="11"/>
        <v>122.53471598600001</v>
      </c>
      <c r="W62" s="30">
        <f t="shared" si="12"/>
        <v>51.59806782622222</v>
      </c>
      <c r="X62" s="31">
        <f t="shared" si="2"/>
        <v>55.915243662222224</v>
      </c>
      <c r="Y62" s="30">
        <f t="shared" si="13"/>
        <v>102.75</v>
      </c>
    </row>
    <row r="63" spans="1:25" x14ac:dyDescent="0.2">
      <c r="A63" s="2">
        <v>50</v>
      </c>
      <c r="B63" s="34">
        <f t="shared" si="14"/>
        <v>32</v>
      </c>
      <c r="C63" s="30">
        <f>IF(B63=0,"",IF('Imperial Data'!AG52&gt;=1, INDEX(Imperial_Incremental[], MATCH('Imperial Data'!AG52, Imperial_Incremental[Height], 1), MATCH('Cumulative Volumes Imperial'!$F$4, Imperial_Incremental[#Headers], 0)), 0))</f>
        <v>3.6434781099999896</v>
      </c>
      <c r="D63" s="30">
        <f>IF(B63=0,"",IF('Imperial Data'!AG52&gt;=1, INDEX(Imperial_Incremental[], MATCH('Imperial Data'!AG52, Imperial_Incremental[Height], 1), MATCH('Cumulative Volumes Imperial'!$F$4 &amp; "EC", Imperial_Incremental[#Headers], 0)), 0))</f>
        <v>0.85951773000000031</v>
      </c>
      <c r="E63" s="30">
        <f t="shared" si="15"/>
        <v>364.34781099999896</v>
      </c>
      <c r="F63" s="30">
        <f t="shared" si="3"/>
        <v>8.5951773000000031</v>
      </c>
      <c r="G63" s="30">
        <f>IF(B63=0,"",IF('Cumulative Volumes Imperial'!$AQ$17=FALSE,I63,H63))</f>
        <v>64.156138013333731</v>
      </c>
      <c r="H63" s="30">
        <f t="shared" si="4"/>
        <v>64.156138013333731</v>
      </c>
      <c r="I63" s="30">
        <f t="shared" si="5"/>
        <v>61.823591717037488</v>
      </c>
      <c r="J63" s="30">
        <f>IF(B63="","",IF('Cumulative Volumes Imperial'!$AQ$17=FALSE,L63,K63))</f>
        <v>437.0991263133327</v>
      </c>
      <c r="K63" s="30">
        <f t="shared" si="6"/>
        <v>437.0991263133327</v>
      </c>
      <c r="L63" s="30">
        <f t="shared" si="7"/>
        <v>434.7665800170364</v>
      </c>
      <c r="M63" s="30">
        <f>IF($E$8+45+$E$9&gt;989,"FALSE",IF(B63="","",IF('Cumulative Volumes Imperial'!$AQ$17=FALSE,O63,N63)))</f>
        <v>12411.650444686664</v>
      </c>
      <c r="N63" s="30">
        <f t="shared" si="8"/>
        <v>12411.650444686664</v>
      </c>
      <c r="O63" s="30">
        <f>IF(B63=0,"",IF('Cumulative Volumes Imperial'!$AQ$17=FALSE,(V63*$E$4)+(W63*$E$5),N63))</f>
        <v>12411.650444686664</v>
      </c>
      <c r="P63" s="30">
        <f>IF(B63=0,"",(((1/12)*'Imperial Data'!$AC$4*'Imperial Data'!$AC$5)-C63)*$H$6)</f>
        <v>0.53957958933333783</v>
      </c>
      <c r="Q63" s="30">
        <f t="shared" si="9"/>
        <v>53.957958933333785</v>
      </c>
      <c r="R63" s="30">
        <f>IF(B63=0,"",(((1/12)*'Imperial Data'!$AC$5*'Imperial Data'!$AC$7)-D63)*$H$6)</f>
        <v>0.7865632783703701</v>
      </c>
      <c r="S63" s="30">
        <f t="shared" si="10"/>
        <v>7.8656327837037008</v>
      </c>
      <c r="T63" s="30">
        <f t="shared" si="0"/>
        <v>90.785547199999996</v>
      </c>
      <c r="U63" s="30">
        <f t="shared" si="1"/>
        <v>22.975157670000002</v>
      </c>
      <c r="V63" s="30">
        <f t="shared" si="11"/>
        <v>118.37439498666667</v>
      </c>
      <c r="W63" s="30">
        <f t="shared" si="12"/>
        <v>49.956946453851849</v>
      </c>
      <c r="X63" s="31">
        <f t="shared" si="2"/>
        <v>54.570636570518531</v>
      </c>
      <c r="Y63" s="30">
        <f t="shared" si="13"/>
        <v>102.66666666666667</v>
      </c>
    </row>
    <row r="64" spans="1:25" x14ac:dyDescent="0.2">
      <c r="A64" s="2">
        <v>51</v>
      </c>
      <c r="B64" s="34">
        <f t="shared" si="14"/>
        <v>31</v>
      </c>
      <c r="C64" s="30">
        <f>IF(B64=0,"",IF('Imperial Data'!AG53&gt;=1, INDEX(Imperial_Incremental[], MATCH('Imperial Data'!AG53, Imperial_Incremental[Height], 1), MATCH('Cumulative Volumes Imperial'!$F$4, Imperial_Incremental[#Headers], 0)), 0))</f>
        <v>3.679943200000011</v>
      </c>
      <c r="D64" s="30">
        <f>IF(B64=0,"",IF('Imperial Data'!AG53&gt;=1, INDEX(Imperial_Incremental[], MATCH('Imperial Data'!AG53, Imperial_Incremental[Height], 1), MATCH('Cumulative Volumes Imperial'!$F$4 &amp; "EC", Imperial_Incremental[#Headers], 0)), 0))</f>
        <v>0.8894542300000019</v>
      </c>
      <c r="E64" s="30">
        <f t="shared" si="15"/>
        <v>367.9943200000011</v>
      </c>
      <c r="F64" s="30">
        <f t="shared" si="3"/>
        <v>8.894542300000019</v>
      </c>
      <c r="G64" s="30">
        <f>IF(B64=0,"",IF('Cumulative Volumes Imperial'!$AQ$17=FALSE,I64,H64))</f>
        <v>62.577788413332861</v>
      </c>
      <c r="H64" s="30">
        <f t="shared" si="4"/>
        <v>62.577788413332861</v>
      </c>
      <c r="I64" s="30">
        <f t="shared" si="5"/>
        <v>60.245242117036625</v>
      </c>
      <c r="J64" s="30">
        <f>IF(B64="","",IF('Cumulative Volumes Imperial'!$AQ$17=FALSE,L64,K64))</f>
        <v>439.46665071333399</v>
      </c>
      <c r="K64" s="30">
        <f t="shared" si="6"/>
        <v>439.46665071333399</v>
      </c>
      <c r="L64" s="30">
        <f t="shared" si="7"/>
        <v>437.13410441703775</v>
      </c>
      <c r="M64" s="30">
        <f>IF($E$8+45+$E$9&gt;989,"FALSE",IF(B64="","",IF('Cumulative Volumes Imperial'!$AQ$17=FALSE,O64,N64)))</f>
        <v>11974.551318373331</v>
      </c>
      <c r="N64" s="30">
        <f t="shared" si="8"/>
        <v>11974.551318373331</v>
      </c>
      <c r="O64" s="30">
        <f>IF(B64=0,"",IF('Cumulative Volumes Imperial'!$AQ$17=FALSE,(V64*$E$4)+(W64*$E$5),N64))</f>
        <v>11974.551318373331</v>
      </c>
      <c r="P64" s="30">
        <f>IF(B64=0,"",(((1/12)*'Imperial Data'!$AC$4*'Imperial Data'!$AC$5)-C64)*$H$6)</f>
        <v>0.52499355333332931</v>
      </c>
      <c r="Q64" s="30">
        <f t="shared" si="9"/>
        <v>52.499355333332929</v>
      </c>
      <c r="R64" s="30">
        <f>IF(B64=0,"",(((1/12)*'Imperial Data'!$AC$5*'Imperial Data'!$AC$7)-D64)*$H$6)</f>
        <v>0.77458867837036949</v>
      </c>
      <c r="S64" s="30">
        <f t="shared" si="10"/>
        <v>7.7458867837036944</v>
      </c>
      <c r="T64" s="30">
        <f t="shared" si="0"/>
        <v>87.142069090000007</v>
      </c>
      <c r="U64" s="30">
        <f t="shared" si="1"/>
        <v>22.115639940000001</v>
      </c>
      <c r="V64" s="30">
        <f t="shared" si="11"/>
        <v>114.19133728733334</v>
      </c>
      <c r="W64" s="30">
        <f t="shared" si="12"/>
        <v>48.310865445481475</v>
      </c>
      <c r="X64" s="31">
        <f t="shared" si="2"/>
        <v>53.244493702814822</v>
      </c>
      <c r="Y64" s="30">
        <f t="shared" si="13"/>
        <v>102.58333333333333</v>
      </c>
    </row>
    <row r="65" spans="1:25" x14ac:dyDescent="0.2">
      <c r="A65" s="2">
        <v>52</v>
      </c>
      <c r="B65" s="34">
        <f t="shared" si="14"/>
        <v>30</v>
      </c>
      <c r="C65" s="30">
        <f>IF(B65=0,"",IF('Imperial Data'!AG54&gt;=1, INDEX(Imperial_Incremental[], MATCH('Imperial Data'!AG54, Imperial_Incremental[Height], 1), MATCH('Cumulative Volumes Imperial'!$F$4, Imperial_Incremental[#Headers], 0)), 0))</f>
        <v>3.7149965899999984</v>
      </c>
      <c r="D65" s="30">
        <f>IF(B65=0,"",IF('Imperial Data'!AG54&gt;=1, INDEX(Imperial_Incremental[], MATCH('Imperial Data'!AG54, Imperial_Incremental[Height], 1), MATCH('Cumulative Volumes Imperial'!$F$4 &amp; "EC", Imperial_Incremental[#Headers], 0)), 0))</f>
        <v>0.90424125999999916</v>
      </c>
      <c r="E65" s="30">
        <f t="shared" si="15"/>
        <v>371.49965899999984</v>
      </c>
      <c r="F65" s="30">
        <f t="shared" si="3"/>
        <v>9.0424125999999916</v>
      </c>
      <c r="G65" s="30">
        <f>IF(B65=0,"",IF('Cumulative Volumes Imperial'!$AQ$17=FALSE,I65,H65))</f>
        <v>61.116504693333383</v>
      </c>
      <c r="H65" s="30">
        <f t="shared" si="4"/>
        <v>61.116504693333383</v>
      </c>
      <c r="I65" s="30">
        <f t="shared" si="5"/>
        <v>58.783958397037139</v>
      </c>
      <c r="J65" s="30">
        <f>IF(B65="","",IF('Cumulative Volumes Imperial'!$AQ$17=FALSE,L65,K65))</f>
        <v>441.65857629333323</v>
      </c>
      <c r="K65" s="30">
        <f t="shared" si="6"/>
        <v>441.65857629333323</v>
      </c>
      <c r="L65" s="30">
        <f t="shared" si="7"/>
        <v>439.32602999703693</v>
      </c>
      <c r="M65" s="30">
        <f>IF($E$8+45+$E$9&gt;989,"FALSE",IF(B65="","",IF('Cumulative Volumes Imperial'!$AQ$17=FALSE,O65,N65)))</f>
        <v>11535.084667659998</v>
      </c>
      <c r="N65" s="30">
        <f t="shared" si="8"/>
        <v>11535.084667659998</v>
      </c>
      <c r="O65" s="30">
        <f>IF(B65=0,"",IF('Cumulative Volumes Imperial'!$AQ$17=FALSE,(V65*$E$4)+(W65*$E$5),N65))</f>
        <v>11535.084667659998</v>
      </c>
      <c r="P65" s="30">
        <f>IF(B65=0,"",(((1/12)*'Imperial Data'!$AC$4*'Imperial Data'!$AC$5)-C65)*$H$6)</f>
        <v>0.51097219733333432</v>
      </c>
      <c r="Q65" s="30">
        <f t="shared" si="9"/>
        <v>51.097219733333432</v>
      </c>
      <c r="R65" s="30">
        <f>IF(B65=0,"",(((1/12)*'Imperial Data'!$AC$5*'Imperial Data'!$AC$7)-D65)*$H$6)</f>
        <v>0.76867386637037061</v>
      </c>
      <c r="S65" s="30">
        <f t="shared" si="10"/>
        <v>7.6867386637037063</v>
      </c>
      <c r="T65" s="30">
        <f t="shared" si="0"/>
        <v>83.462125889999996</v>
      </c>
      <c r="U65" s="30">
        <f t="shared" si="1"/>
        <v>21.226185709999999</v>
      </c>
      <c r="V65" s="30">
        <f t="shared" si="11"/>
        <v>109.986400534</v>
      </c>
      <c r="W65" s="30">
        <f t="shared" si="12"/>
        <v>46.646822537111106</v>
      </c>
      <c r="X65" s="31">
        <f t="shared" si="2"/>
        <v>51.944911471111119</v>
      </c>
      <c r="Y65" s="30">
        <f t="shared" si="13"/>
        <v>102.5</v>
      </c>
    </row>
    <row r="66" spans="1:25" x14ac:dyDescent="0.2">
      <c r="A66" s="2">
        <v>53</v>
      </c>
      <c r="B66" s="34">
        <f t="shared" si="14"/>
        <v>29</v>
      </c>
      <c r="C66" s="30">
        <f>IF(B66=0,"",IF('Imperial Data'!AG55&gt;=1, INDEX(Imperial_Incremental[], MATCH('Imperial Data'!AG55, Imperial_Incremental[Height], 1), MATCH('Cumulative Volumes Imperial'!$F$4, Imperial_Incremental[#Headers], 0)), 0))</f>
        <v>3.7486903599999977</v>
      </c>
      <c r="D66" s="30">
        <f>IF(B66=0,"",IF('Imperial Data'!AG55&gt;=1, INDEX(Imperial_Incremental[], MATCH('Imperial Data'!AG55, Imperial_Incremental[Height], 1), MATCH('Cumulative Volumes Imperial'!$F$4 &amp; "EC", Imperial_Incremental[#Headers], 0)), 0))</f>
        <v>0.91725006000000064</v>
      </c>
      <c r="E66" s="30">
        <f t="shared" si="15"/>
        <v>374.86903599999977</v>
      </c>
      <c r="F66" s="30">
        <f t="shared" si="3"/>
        <v>9.1725006000000064</v>
      </c>
      <c r="G66" s="30">
        <f>IF(B66=0,"",IF('Cumulative Volumes Imperial'!$AQ$17=FALSE,I66,H66))</f>
        <v>59.716718693333405</v>
      </c>
      <c r="H66" s="30">
        <f t="shared" si="4"/>
        <v>59.716718693333405</v>
      </c>
      <c r="I66" s="30">
        <f t="shared" si="5"/>
        <v>57.384172397037162</v>
      </c>
      <c r="J66" s="30">
        <f>IF(B66="","",IF('Cumulative Volumes Imperial'!$AQ$17=FALSE,L66,K66))</f>
        <v>443.75825529333315</v>
      </c>
      <c r="K66" s="30">
        <f t="shared" si="6"/>
        <v>443.75825529333315</v>
      </c>
      <c r="L66" s="30">
        <f t="shared" si="7"/>
        <v>441.42570899703691</v>
      </c>
      <c r="M66" s="30">
        <f>IF($E$8+45+$E$9&gt;989,"FALSE",IF(B66="","",IF('Cumulative Volumes Imperial'!$AQ$17=FALSE,O66,N66)))</f>
        <v>11093.426091366664</v>
      </c>
      <c r="N66" s="30">
        <f t="shared" si="8"/>
        <v>11093.426091366664</v>
      </c>
      <c r="O66" s="30">
        <f>IF(B66=0,"",IF('Cumulative Volumes Imperial'!$AQ$17=FALSE,(V66*$E$4)+(W66*$E$5),N66))</f>
        <v>11093.426091366664</v>
      </c>
      <c r="P66" s="30">
        <f>IF(B66=0,"",(((1/12)*'Imperial Data'!$AC$4*'Imperial Data'!$AC$5)-C66)*$H$6)</f>
        <v>0.49749468933333463</v>
      </c>
      <c r="Q66" s="30">
        <f t="shared" si="9"/>
        <v>49.749468933333461</v>
      </c>
      <c r="R66" s="30">
        <f>IF(B66=0,"",(((1/12)*'Imperial Data'!$AC$5*'Imperial Data'!$AC$7)-D66)*$H$6)</f>
        <v>0.76347034637037003</v>
      </c>
      <c r="S66" s="30">
        <f t="shared" si="10"/>
        <v>7.6347034637037003</v>
      </c>
      <c r="T66" s="30">
        <f t="shared" si="0"/>
        <v>79.747129299999997</v>
      </c>
      <c r="U66" s="30">
        <f t="shared" si="1"/>
        <v>20.32194445</v>
      </c>
      <c r="V66" s="30">
        <f t="shared" si="11"/>
        <v>105.76043174666667</v>
      </c>
      <c r="W66" s="30">
        <f t="shared" si="12"/>
        <v>44.973907410740736</v>
      </c>
      <c r="X66" s="31">
        <f t="shared" si="2"/>
        <v>50.665265407407418</v>
      </c>
      <c r="Y66" s="30">
        <f t="shared" si="13"/>
        <v>102.41666666666667</v>
      </c>
    </row>
    <row r="67" spans="1:25" x14ac:dyDescent="0.2">
      <c r="A67" s="2">
        <v>54</v>
      </c>
      <c r="B67" s="34">
        <f t="shared" si="14"/>
        <v>28</v>
      </c>
      <c r="C67" s="30">
        <f>IF(B67=0,"",IF('Imperial Data'!AG56&gt;=1, INDEX(Imperial_Incremental[], MATCH('Imperial Data'!AG56, Imperial_Incremental[Height], 1), MATCH('Cumulative Volumes Imperial'!$F$4, Imperial_Incremental[#Headers], 0)), 0))</f>
        <v>3.7809984700000001</v>
      </c>
      <c r="D67" s="30">
        <f>IF(B67=0,"",IF('Imperial Data'!AG56&gt;=1, INDEX(Imperial_Incremental[], MATCH('Imperial Data'!AG56, Imperial_Incremental[Height], 1), MATCH('Cumulative Volumes Imperial'!$F$4 &amp; "EC", Imperial_Incremental[#Headers], 0)), 0))</f>
        <v>0.91981162000000083</v>
      </c>
      <c r="E67" s="30">
        <f t="shared" si="15"/>
        <v>378.09984700000001</v>
      </c>
      <c r="F67" s="30">
        <f t="shared" si="3"/>
        <v>9.1981162000000083</v>
      </c>
      <c r="G67" s="30">
        <f>IF(B67=0,"",IF('Cumulative Volumes Imperial'!$AQ$17=FALSE,I67,H67))</f>
        <v>58.414148053333292</v>
      </c>
      <c r="H67" s="30">
        <f t="shared" si="4"/>
        <v>58.414148053333292</v>
      </c>
      <c r="I67" s="30">
        <f t="shared" si="5"/>
        <v>56.081601757037063</v>
      </c>
      <c r="J67" s="30">
        <f>IF(B67="","",IF('Cumulative Volumes Imperial'!$AQ$17=FALSE,L67,K67))</f>
        <v>445.71211125333332</v>
      </c>
      <c r="K67" s="30">
        <f t="shared" si="6"/>
        <v>445.71211125333332</v>
      </c>
      <c r="L67" s="30">
        <f t="shared" si="7"/>
        <v>443.37956495703708</v>
      </c>
      <c r="M67" s="30">
        <f>IF($E$8+45+$E$9&gt;989,"FALSE",IF(B67="","",IF('Cumulative Volumes Imperial'!$AQ$17=FALSE,O67,N67)))</f>
        <v>10649.667836073331</v>
      </c>
      <c r="N67" s="30">
        <f t="shared" si="8"/>
        <v>10649.667836073331</v>
      </c>
      <c r="O67" s="30">
        <f>IF(B67=0,"",IF('Cumulative Volumes Imperial'!$AQ$17=FALSE,(V67*$E$4)+(W67*$E$5),N67))</f>
        <v>10649.667836073331</v>
      </c>
      <c r="P67" s="30">
        <f>IF(B67=0,"",(((1/12)*'Imperial Data'!$AC$4*'Imperial Data'!$AC$5)-C67)*$H$6)</f>
        <v>0.48457144533333363</v>
      </c>
      <c r="Q67" s="30">
        <f t="shared" si="9"/>
        <v>48.457144533333363</v>
      </c>
      <c r="R67" s="30">
        <f>IF(B67=0,"",(((1/12)*'Imperial Data'!$AC$5*'Imperial Data'!$AC$7)-D67)*$H$6)</f>
        <v>0.76244572237036989</v>
      </c>
      <c r="S67" s="30">
        <f t="shared" si="10"/>
        <v>7.6244572237036987</v>
      </c>
      <c r="T67" s="30">
        <f t="shared" si="0"/>
        <v>75.99843894</v>
      </c>
      <c r="U67" s="30">
        <f t="shared" si="1"/>
        <v>19.40469439</v>
      </c>
      <c r="V67" s="30">
        <f t="shared" si="11"/>
        <v>101.51424669733333</v>
      </c>
      <c r="W67" s="30">
        <f t="shared" si="12"/>
        <v>43.293187004370367</v>
      </c>
      <c r="X67" s="31">
        <f t="shared" si="2"/>
        <v>49.404300371703712</v>
      </c>
      <c r="Y67" s="30">
        <f t="shared" si="13"/>
        <v>102.33333333333333</v>
      </c>
    </row>
    <row r="68" spans="1:25" x14ac:dyDescent="0.2">
      <c r="A68" s="2">
        <v>55</v>
      </c>
      <c r="B68" s="34">
        <f t="shared" si="14"/>
        <v>27</v>
      </c>
      <c r="C68" s="30">
        <f>IF(B68=0,"",IF('Imperial Data'!AG57&gt;=1, INDEX(Imperial_Incremental[], MATCH('Imperial Data'!AG57, Imperial_Incremental[Height], 1), MATCH('Cumulative Volumes Imperial'!$F$4, Imperial_Incremental[#Headers], 0)), 0))</f>
        <v>3.8120461900000038</v>
      </c>
      <c r="D68" s="30">
        <f>IF(B68=0,"",IF('Imperial Data'!AG57&gt;=1, INDEX(Imperial_Incremental[], MATCH('Imperial Data'!AG57, Imperial_Incremental[Height], 1), MATCH('Cumulative Volumes Imperial'!$F$4 &amp; "EC", Imperial_Incremental[#Headers], 0)), 0))</f>
        <v>0.94341004999999711</v>
      </c>
      <c r="E68" s="30">
        <f t="shared" si="15"/>
        <v>381.20461900000038</v>
      </c>
      <c r="F68" s="30">
        <f t="shared" si="3"/>
        <v>9.4341004999999711</v>
      </c>
      <c r="G68" s="30">
        <f>IF(B68=0,"",IF('Cumulative Volumes Imperial'!$AQ$17=FALSE,I68,H68))</f>
        <v>57.077845533333175</v>
      </c>
      <c r="H68" s="30">
        <f t="shared" si="4"/>
        <v>57.077845533333175</v>
      </c>
      <c r="I68" s="30">
        <f t="shared" si="5"/>
        <v>54.745299237036932</v>
      </c>
      <c r="J68" s="30">
        <f>IF(B68="","",IF('Cumulative Volumes Imperial'!$AQ$17=FALSE,L68,K68))</f>
        <v>447.7165650333335</v>
      </c>
      <c r="K68" s="30">
        <f t="shared" si="6"/>
        <v>447.7165650333335</v>
      </c>
      <c r="L68" s="30">
        <f t="shared" si="7"/>
        <v>445.38401873703725</v>
      </c>
      <c r="M68" s="30">
        <f>IF($E$8+45+$E$9&gt;989,"FALSE",IF(B68="","",IF('Cumulative Volumes Imperial'!$AQ$17=FALSE,O68,N68)))</f>
        <v>10203.955724819998</v>
      </c>
      <c r="N68" s="30">
        <f t="shared" si="8"/>
        <v>10203.955724819998</v>
      </c>
      <c r="O68" s="30">
        <f>IF(B68=0,"",IF('Cumulative Volumes Imperial'!$AQ$17=FALSE,(V68*$E$4)+(W68*$E$5),N68))</f>
        <v>10203.955724819998</v>
      </c>
      <c r="P68" s="30">
        <f>IF(B68=0,"",(((1/12)*'Imperial Data'!$AC$4*'Imperial Data'!$AC$5)-C68)*$H$6)</f>
        <v>0.47215235733333216</v>
      </c>
      <c r="Q68" s="30">
        <f t="shared" si="9"/>
        <v>47.215235733333216</v>
      </c>
      <c r="R68" s="30">
        <f>IF(B68=0,"",(((1/12)*'Imperial Data'!$AC$5*'Imperial Data'!$AC$7)-D68)*$H$6)</f>
        <v>0.75300635037037145</v>
      </c>
      <c r="S68" s="30">
        <f t="shared" si="10"/>
        <v>7.5300635037037145</v>
      </c>
      <c r="T68" s="30">
        <f t="shared" si="0"/>
        <v>72.21744047</v>
      </c>
      <c r="U68" s="30">
        <f t="shared" si="1"/>
        <v>18.484882769999999</v>
      </c>
      <c r="V68" s="30">
        <f t="shared" si="11"/>
        <v>97.248676782000004</v>
      </c>
      <c r="W68" s="30">
        <f t="shared" si="12"/>
        <v>41.61092966199999</v>
      </c>
      <c r="X68" s="31">
        <f t="shared" si="2"/>
        <v>48.157283204000009</v>
      </c>
      <c r="Y68" s="30">
        <f t="shared" si="13"/>
        <v>102.25</v>
      </c>
    </row>
    <row r="69" spans="1:25" x14ac:dyDescent="0.2">
      <c r="A69" s="2">
        <v>56</v>
      </c>
      <c r="B69" s="34">
        <f t="shared" si="14"/>
        <v>26</v>
      </c>
      <c r="C69" s="30">
        <f>IF(B69=0,"",IF('Imperial Data'!AG58&gt;=1, INDEX(Imperial_Incremental[], MATCH('Imperial Data'!AG58, Imperial_Incremental[Height], 1), MATCH('Cumulative Volumes Imperial'!$F$4, Imperial_Incremental[#Headers], 0)), 0))</f>
        <v>3.8416929599999889</v>
      </c>
      <c r="D69" s="30">
        <f>IF(B69=0,"",IF('Imperial Data'!AG58&gt;=1, INDEX(Imperial_Incremental[], MATCH('Imperial Data'!AG58, Imperial_Incremental[Height], 1), MATCH('Cumulative Volumes Imperial'!$F$4 &amp; "EC", Imperial_Incremental[#Headers], 0)), 0))</f>
        <v>0.95634088999999989</v>
      </c>
      <c r="E69" s="30">
        <f t="shared" si="15"/>
        <v>384.16929599999889</v>
      </c>
      <c r="F69" s="30">
        <f t="shared" si="3"/>
        <v>9.5634088999999989</v>
      </c>
      <c r="G69" s="30">
        <f>IF(B69=0,"",IF('Cumulative Volumes Imperial'!$AQ$17=FALSE,I69,H69))</f>
        <v>55.840251373333743</v>
      </c>
      <c r="H69" s="30">
        <f t="shared" si="4"/>
        <v>55.840251373333743</v>
      </c>
      <c r="I69" s="30">
        <f t="shared" si="5"/>
        <v>53.507705077037514</v>
      </c>
      <c r="J69" s="30">
        <f>IF(B69="","",IF('Cumulative Volumes Imperial'!$AQ$17=FALSE,L69,K69))</f>
        <v>449.57295627333264</v>
      </c>
      <c r="K69" s="30">
        <f t="shared" si="6"/>
        <v>449.57295627333264</v>
      </c>
      <c r="L69" s="30">
        <f t="shared" si="7"/>
        <v>447.24040997703639</v>
      </c>
      <c r="M69" s="30">
        <f>IF($E$8+45+$E$9&gt;989,"FALSE",IF(B69="","",IF('Cumulative Volumes Imperial'!$AQ$17=FALSE,O69,N69)))</f>
        <v>9756.2391597866645</v>
      </c>
      <c r="N69" s="30">
        <f t="shared" si="8"/>
        <v>9756.2391597866645</v>
      </c>
      <c r="O69" s="30">
        <f>IF(B69=0,"",IF('Cumulative Volumes Imperial'!$AQ$17=FALSE,(V69*$E$4)+(W69*$E$5),N69))</f>
        <v>9756.2391597866645</v>
      </c>
      <c r="P69" s="30">
        <f>IF(B69=0,"",(((1/12)*'Imperial Data'!$AC$4*'Imperial Data'!$AC$5)-C69)*$H$6)</f>
        <v>0.46029364933333811</v>
      </c>
      <c r="Q69" s="30">
        <f t="shared" si="9"/>
        <v>46.02936493333381</v>
      </c>
      <c r="R69" s="30">
        <f>IF(B69=0,"",(((1/12)*'Imperial Data'!$AC$5*'Imperial Data'!$AC$7)-D69)*$H$6)</f>
        <v>0.74783401437037034</v>
      </c>
      <c r="S69" s="30">
        <f t="shared" si="10"/>
        <v>7.4783401437037034</v>
      </c>
      <c r="T69" s="30">
        <f t="shared" si="0"/>
        <v>68.405394279999996</v>
      </c>
      <c r="U69" s="30">
        <f t="shared" si="1"/>
        <v>17.541472720000002</v>
      </c>
      <c r="V69" s="30">
        <f t="shared" si="11"/>
        <v>92.964478234666672</v>
      </c>
      <c r="W69" s="30">
        <f t="shared" si="12"/>
        <v>39.914513261629622</v>
      </c>
      <c r="X69" s="31">
        <f t="shared" si="2"/>
        <v>46.932124496296304</v>
      </c>
      <c r="Y69" s="30">
        <f t="shared" si="13"/>
        <v>102.16666666666667</v>
      </c>
    </row>
    <row r="70" spans="1:25" x14ac:dyDescent="0.2">
      <c r="A70" s="2">
        <v>57</v>
      </c>
      <c r="B70" s="34">
        <f t="shared" si="14"/>
        <v>25</v>
      </c>
      <c r="C70" s="30">
        <f>IF(B70=0,"",IF('Imperial Data'!AG59&gt;=1, INDEX(Imperial_Incremental[], MATCH('Imperial Data'!AG59, Imperial_Incremental[Height], 1), MATCH('Cumulative Volumes Imperial'!$F$4, Imperial_Incremental[#Headers], 0)), 0))</f>
        <v>3.8701618800000048</v>
      </c>
      <c r="D70" s="30">
        <f>IF(B70=0,"",IF('Imperial Data'!AG59&gt;=1, INDEX(Imperial_Incremental[], MATCH('Imperial Data'!AG59, Imperial_Incremental[Height], 1), MATCH('Cumulative Volumes Imperial'!$F$4 &amp; "EC", Imperial_Incremental[#Headers], 0)), 0))</f>
        <v>0.96864110000000103</v>
      </c>
      <c r="E70" s="30">
        <f t="shared" si="15"/>
        <v>387.01618800000051</v>
      </c>
      <c r="F70" s="30">
        <f t="shared" si="3"/>
        <v>9.6864110000000103</v>
      </c>
      <c r="G70" s="30">
        <f>IF(B70=0,"",IF('Cumulative Volumes Imperial'!$AQ$17=FALSE,I70,H70))</f>
        <v>54.652293733333096</v>
      </c>
      <c r="H70" s="30">
        <f t="shared" si="4"/>
        <v>54.652293733333096</v>
      </c>
      <c r="I70" s="30">
        <f t="shared" si="5"/>
        <v>52.319747437036874</v>
      </c>
      <c r="J70" s="30">
        <f>IF(B70="","",IF('Cumulative Volumes Imperial'!$AQ$17=FALSE,L70,K70))</f>
        <v>451.3548927333336</v>
      </c>
      <c r="K70" s="30">
        <f t="shared" si="6"/>
        <v>451.3548927333336</v>
      </c>
      <c r="L70" s="30">
        <f t="shared" si="7"/>
        <v>449.02234643703741</v>
      </c>
      <c r="M70" s="30">
        <f>IF($E$8+45+$E$9&gt;989,"FALSE",IF(B70="","",IF('Cumulative Volumes Imperial'!$AQ$17=FALSE,O70,N70)))</f>
        <v>9306.6662035133322</v>
      </c>
      <c r="N70" s="30">
        <f t="shared" si="8"/>
        <v>9306.6662035133322</v>
      </c>
      <c r="O70" s="30">
        <f>IF(B70=0,"",IF('Cumulative Volumes Imperial'!$AQ$17=FALSE,(V70*$E$4)+(W70*$E$5),N70))</f>
        <v>9306.6662035133322</v>
      </c>
      <c r="P70" s="30">
        <f>IF(B70=0,"",(((1/12)*'Imperial Data'!$AC$4*'Imperial Data'!$AC$5)-C70)*$H$6)</f>
        <v>0.44890608133333176</v>
      </c>
      <c r="Q70" s="30">
        <f t="shared" si="9"/>
        <v>44.890608133333174</v>
      </c>
      <c r="R70" s="30">
        <f>IF(B70=0,"",(((1/12)*'Imperial Data'!$AC$5*'Imperial Data'!$AC$7)-D70)*$H$6)</f>
        <v>0.74291393037036979</v>
      </c>
      <c r="S70" s="30">
        <f t="shared" si="10"/>
        <v>7.4291393037036979</v>
      </c>
      <c r="T70" s="30">
        <f t="shared" si="0"/>
        <v>64.563701320000007</v>
      </c>
      <c r="U70" s="30">
        <f t="shared" si="1"/>
        <v>16.585131830000002</v>
      </c>
      <c r="V70" s="30">
        <f t="shared" si="11"/>
        <v>88.662491625333345</v>
      </c>
      <c r="W70" s="30">
        <f t="shared" si="12"/>
        <v>38.210338357259253</v>
      </c>
      <c r="X70" s="31">
        <f t="shared" si="2"/>
        <v>45.723996832592597</v>
      </c>
      <c r="Y70" s="30">
        <f t="shared" si="13"/>
        <v>102.08333333333333</v>
      </c>
    </row>
    <row r="71" spans="1:25" x14ac:dyDescent="0.2">
      <c r="A71" s="2">
        <v>58</v>
      </c>
      <c r="B71" s="34">
        <f t="shared" si="14"/>
        <v>24</v>
      </c>
      <c r="C71" s="30">
        <f>IF(B71=0,"",IF('Imperial Data'!AG60&gt;=1, INDEX(Imperial_Incremental[], MATCH('Imperial Data'!AG60, Imperial_Incremental[Height], 1), MATCH('Cumulative Volumes Imperial'!$F$4, Imperial_Incremental[#Headers], 0)), 0))</f>
        <v>3.8974015800000004</v>
      </c>
      <c r="D71" s="30">
        <f>IF(B71=0,"",IF('Imperial Data'!AG60&gt;=1, INDEX(Imperial_Incremental[], MATCH('Imperial Data'!AG60, Imperial_Incremental[Height], 1), MATCH('Cumulative Volumes Imperial'!$F$4 &amp; "EC", Imperial_Incremental[#Headers], 0)), 0))</f>
        <v>0.98137976000000116</v>
      </c>
      <c r="E71" s="30">
        <f t="shared" si="15"/>
        <v>389.74015800000006</v>
      </c>
      <c r="F71" s="30">
        <f t="shared" si="3"/>
        <v>9.8137976000000116</v>
      </c>
      <c r="G71" s="30">
        <f>IF(B71=0,"",IF('Cumulative Volumes Imperial'!$AQ$17=FALSE,I71,H71))</f>
        <v>53.511751093333288</v>
      </c>
      <c r="H71" s="30">
        <f t="shared" si="4"/>
        <v>53.511751093333288</v>
      </c>
      <c r="I71" s="30">
        <f t="shared" si="5"/>
        <v>51.179204797037059</v>
      </c>
      <c r="J71" s="30">
        <f>IF(B71="","",IF('Cumulative Volumes Imperial'!$AQ$17=FALSE,L71,K71))</f>
        <v>453.06570669333337</v>
      </c>
      <c r="K71" s="30">
        <f t="shared" si="6"/>
        <v>453.06570669333337</v>
      </c>
      <c r="L71" s="30">
        <f t="shared" si="7"/>
        <v>450.73316039703712</v>
      </c>
      <c r="M71" s="30">
        <f>IF($E$8+45+$E$9&gt;989,"FALSE",IF(B71="","",IF('Cumulative Volumes Imperial'!$AQ$17=FALSE,O71,N71)))</f>
        <v>8855.3113107799982</v>
      </c>
      <c r="N71" s="30">
        <f t="shared" si="8"/>
        <v>8855.3113107799982</v>
      </c>
      <c r="O71" s="30">
        <f>IF(B71=0,"",IF('Cumulative Volumes Imperial'!$AQ$17=FALSE,(V71*$E$4)+(W71*$E$5),N71))</f>
        <v>8855.3113107799982</v>
      </c>
      <c r="P71" s="30">
        <f>IF(B71=0,"",(((1/12)*'Imperial Data'!$AC$4*'Imperial Data'!$AC$5)-C71)*$H$6)</f>
        <v>0.43801020133333357</v>
      </c>
      <c r="Q71" s="30">
        <f t="shared" si="9"/>
        <v>43.80102013333336</v>
      </c>
      <c r="R71" s="30">
        <f>IF(B71=0,"",(((1/12)*'Imperial Data'!$AC$5*'Imperial Data'!$AC$7)-D71)*$H$6)</f>
        <v>0.73781846637036974</v>
      </c>
      <c r="S71" s="30">
        <f t="shared" si="10"/>
        <v>7.3781846637036974</v>
      </c>
      <c r="T71" s="30">
        <f t="shared" si="0"/>
        <v>60.693539440000002</v>
      </c>
      <c r="U71" s="30">
        <f t="shared" si="1"/>
        <v>15.616490730000001</v>
      </c>
      <c r="V71" s="30">
        <f t="shared" si="11"/>
        <v>84.343423663999999</v>
      </c>
      <c r="W71" s="30">
        <f t="shared" si="12"/>
        <v>36.498783326888883</v>
      </c>
      <c r="X71" s="31">
        <f t="shared" si="2"/>
        <v>44.532176820888893</v>
      </c>
      <c r="Y71" s="30">
        <f t="shared" si="13"/>
        <v>102</v>
      </c>
    </row>
    <row r="72" spans="1:25" x14ac:dyDescent="0.2">
      <c r="A72" s="2">
        <v>59</v>
      </c>
      <c r="B72" s="34">
        <f t="shared" si="14"/>
        <v>23</v>
      </c>
      <c r="C72" s="30">
        <f>IF(B72=0,"",IF('Imperial Data'!AG61&gt;=1, INDEX(Imperial_Incremental[], MATCH('Imperial Data'!AG61, Imperial_Incremental[Height], 1), MATCH('Cumulative Volumes Imperial'!$F$4, Imperial_Incremental[#Headers], 0)), 0))</f>
        <v>3.9234501000000037</v>
      </c>
      <c r="D72" s="30">
        <f>IF(B72=0,"",IF('Imperial Data'!AG61&gt;=1, INDEX(Imperial_Incremental[], MATCH('Imperial Data'!AG61, Imperial_Incremental[Height], 1), MATCH('Cumulative Volumes Imperial'!$F$4 &amp; "EC", Imperial_Incremental[#Headers], 0)), 0))</f>
        <v>0.97114358999999872</v>
      </c>
      <c r="E72" s="30">
        <f t="shared" si="15"/>
        <v>392.34501000000034</v>
      </c>
      <c r="F72" s="30">
        <f t="shared" si="3"/>
        <v>9.7114358999999872</v>
      </c>
      <c r="G72" s="30">
        <f>IF(B72=0,"",IF('Cumulative Volumes Imperial'!$AQ$17=FALSE,I72,H72))</f>
        <v>52.510754973333178</v>
      </c>
      <c r="H72" s="30">
        <f t="shared" si="4"/>
        <v>52.510754973333178</v>
      </c>
      <c r="I72" s="30">
        <f t="shared" si="5"/>
        <v>50.178208677036928</v>
      </c>
      <c r="J72" s="30">
        <f>IF(B72="","",IF('Cumulative Volumes Imperial'!$AQ$17=FALSE,L72,K72))</f>
        <v>454.56720087333349</v>
      </c>
      <c r="K72" s="30">
        <f t="shared" si="6"/>
        <v>454.56720087333349</v>
      </c>
      <c r="L72" s="30">
        <f t="shared" si="7"/>
        <v>452.23465457703725</v>
      </c>
      <c r="M72" s="30">
        <f>IF($E$8+45+$E$9&gt;989,"FALSE",IF(B72="","",IF('Cumulative Volumes Imperial'!$AQ$17=FALSE,O72,N72)))</f>
        <v>8402.2456040866655</v>
      </c>
      <c r="N72" s="30">
        <f t="shared" si="8"/>
        <v>8402.2456040866655</v>
      </c>
      <c r="O72" s="30">
        <f>IF(B72=0,"",IF('Cumulative Volumes Imperial'!$AQ$17=FALSE,(V72*$E$4)+(W72*$E$5),N72))</f>
        <v>8402.2456040866655</v>
      </c>
      <c r="P72" s="30">
        <f>IF(B72=0,"",(((1/12)*'Imperial Data'!$AC$4*'Imperial Data'!$AC$5)-C72)*$H$6)</f>
        <v>0.42759079333333222</v>
      </c>
      <c r="Q72" s="30">
        <f t="shared" si="9"/>
        <v>42.759079333333219</v>
      </c>
      <c r="R72" s="30">
        <f>IF(B72=0,"",(((1/12)*'Imperial Data'!$AC$5*'Imperial Data'!$AC$7)-D72)*$H$6)</f>
        <v>0.74191293437037076</v>
      </c>
      <c r="S72" s="30">
        <f t="shared" si="10"/>
        <v>7.4191293437037071</v>
      </c>
      <c r="T72" s="30">
        <f t="shared" si="0"/>
        <v>56.796137860000002</v>
      </c>
      <c r="U72" s="30">
        <f t="shared" si="1"/>
        <v>14.635110969999999</v>
      </c>
      <c r="V72" s="30">
        <f t="shared" si="11"/>
        <v>80.008011882666665</v>
      </c>
      <c r="W72" s="30">
        <f t="shared" si="12"/>
        <v>34.77958510051851</v>
      </c>
      <c r="X72" s="31">
        <f t="shared" si="2"/>
        <v>43.356348153185188</v>
      </c>
      <c r="Y72" s="30">
        <f t="shared" si="13"/>
        <v>101.91666666666667</v>
      </c>
    </row>
    <row r="73" spans="1:25" x14ac:dyDescent="0.2">
      <c r="A73" s="2">
        <v>60</v>
      </c>
      <c r="B73" s="34">
        <f t="shared" si="14"/>
        <v>22</v>
      </c>
      <c r="C73" s="30">
        <f>IF(B73=0,"",IF('Imperial Data'!AG62&gt;=1, INDEX(Imperial_Incremental[], MATCH('Imperial Data'!AG62, Imperial_Incremental[Height], 1), MATCH('Cumulative Volumes Imperial'!$F$4, Imperial_Incremental[#Headers], 0)), 0))</f>
        <v>3.9482757500000005</v>
      </c>
      <c r="D73" s="30">
        <f>IF(B73=0,"",IF('Imperial Data'!AG62&gt;=1, INDEX(Imperial_Incremental[], MATCH('Imperial Data'!AG62, Imperial_Incremental[Height], 1), MATCH('Cumulative Volumes Imperial'!$F$4 &amp; "EC", Imperial_Incremental[#Headers], 0)), 0))</f>
        <v>1.0032460500000013</v>
      </c>
      <c r="E73" s="30">
        <f t="shared" si="15"/>
        <v>394.82757500000002</v>
      </c>
      <c r="F73" s="30">
        <f t="shared" si="3"/>
        <v>10.032460500000013</v>
      </c>
      <c r="G73" s="30">
        <f>IF(B73=0,"",IF('Cumulative Volumes Imperial'!$AQ$17=FALSE,I73,H73))</f>
        <v>51.389319133333288</v>
      </c>
      <c r="H73" s="30">
        <f t="shared" si="4"/>
        <v>51.389319133333288</v>
      </c>
      <c r="I73" s="30">
        <f t="shared" si="5"/>
        <v>49.056772837037045</v>
      </c>
      <c r="J73" s="30">
        <f>IF(B73="","",IF('Cumulative Volumes Imperial'!$AQ$17=FALSE,L73,K73))</f>
        <v>456.24935463333333</v>
      </c>
      <c r="K73" s="30">
        <f t="shared" si="6"/>
        <v>456.24935463333333</v>
      </c>
      <c r="L73" s="30">
        <f t="shared" si="7"/>
        <v>453.91680833703708</v>
      </c>
      <c r="M73" s="30">
        <f>IF($E$8+45+$E$9&gt;989,"FALSE",IF(B73="","",IF('Cumulative Volumes Imperial'!$AQ$17=FALSE,O73,N73)))</f>
        <v>7947.6784032133328</v>
      </c>
      <c r="N73" s="30">
        <f t="shared" si="8"/>
        <v>7947.6784032133328</v>
      </c>
      <c r="O73" s="30">
        <f>IF(B73=0,"",IF('Cumulative Volumes Imperial'!$AQ$17=FALSE,(V73*$E$4)+(W73*$E$5),N73))</f>
        <v>7947.6784032133328</v>
      </c>
      <c r="P73" s="30">
        <f>IF(B73=0,"",(((1/12)*'Imperial Data'!$AC$4*'Imperial Data'!$AC$5)-C73)*$H$6)</f>
        <v>0.41766053333333347</v>
      </c>
      <c r="Q73" s="30">
        <f t="shared" si="9"/>
        <v>41.766053333333346</v>
      </c>
      <c r="R73" s="30">
        <f>IF(B73=0,"",(((1/12)*'Imperial Data'!$AC$5*'Imperial Data'!$AC$7)-D73)*$H$6)</f>
        <v>0.72907195037036976</v>
      </c>
      <c r="S73" s="30">
        <f t="shared" si="10"/>
        <v>7.2907195037036976</v>
      </c>
      <c r="T73" s="30">
        <f t="shared" si="0"/>
        <v>52.872687759999998</v>
      </c>
      <c r="U73" s="30">
        <f t="shared" si="1"/>
        <v>13.663967380000001</v>
      </c>
      <c r="V73" s="30">
        <f t="shared" si="11"/>
        <v>75.656970989333331</v>
      </c>
      <c r="W73" s="30">
        <f t="shared" si="12"/>
        <v>33.066528576148144</v>
      </c>
      <c r="X73" s="31">
        <f t="shared" si="2"/>
        <v>42.186844425481489</v>
      </c>
      <c r="Y73" s="30">
        <f t="shared" si="13"/>
        <v>101.83333333333333</v>
      </c>
    </row>
    <row r="74" spans="1:25" x14ac:dyDescent="0.2">
      <c r="A74" s="2">
        <v>61</v>
      </c>
      <c r="B74" s="34">
        <f t="shared" si="14"/>
        <v>21</v>
      </c>
      <c r="C74" s="30">
        <f>IF(B74=0,"",IF('Imperial Data'!AG63&gt;=1, INDEX(Imperial_Incremental[], MATCH('Imperial Data'!AG63, Imperial_Incremental[Height], 1), MATCH('Cumulative Volumes Imperial'!$F$4, Imperial_Incremental[#Headers], 0)), 0))</f>
        <v>3.9719479899999968</v>
      </c>
      <c r="D74" s="30">
        <f>IF(B74=0,"",IF('Imperial Data'!AG63&gt;=1, INDEX(Imperial_Incremental[], MATCH('Imperial Data'!AG63, Imperial_Incremental[Height], 1), MATCH('Cumulative Volumes Imperial'!$F$4 &amp; "EC", Imperial_Incremental[#Headers], 0)), 0))</f>
        <v>1.0111244299999989</v>
      </c>
      <c r="E74" s="30">
        <f t="shared" si="15"/>
        <v>397.19479899999965</v>
      </c>
      <c r="F74" s="30">
        <f t="shared" si="3"/>
        <v>10.111244299999989</v>
      </c>
      <c r="G74" s="30">
        <f>IF(B74=0,"",IF('Cumulative Volumes Imperial'!$AQ$17=FALSE,I74,H74))</f>
        <v>50.410916013333441</v>
      </c>
      <c r="H74" s="30">
        <f t="shared" si="4"/>
        <v>50.410916013333441</v>
      </c>
      <c r="I74" s="30">
        <f t="shared" si="5"/>
        <v>48.078369717037205</v>
      </c>
      <c r="J74" s="30">
        <f>IF(B74="","",IF('Cumulative Volumes Imperial'!$AQ$17=FALSE,L74,K74))</f>
        <v>457.71695931333306</v>
      </c>
      <c r="K74" s="30">
        <f t="shared" si="6"/>
        <v>457.71695931333306</v>
      </c>
      <c r="L74" s="30">
        <f t="shared" si="7"/>
        <v>455.38441301703688</v>
      </c>
      <c r="M74" s="30">
        <f>IF($E$8+45+$E$9&gt;989,"FALSE",IF(B74="","",IF('Cumulative Volumes Imperial'!$AQ$17=FALSE,O74,N74)))</f>
        <v>7491.4290485799993</v>
      </c>
      <c r="N74" s="30">
        <f t="shared" si="8"/>
        <v>7491.4290485799993</v>
      </c>
      <c r="O74" s="30">
        <f>IF(B74=0,"",IF('Cumulative Volumes Imperial'!$AQ$17=FALSE,(V74*$E$4)+(W74*$E$5),N74))</f>
        <v>7491.4290485799993</v>
      </c>
      <c r="P74" s="30">
        <f>IF(B74=0,"",(((1/12)*'Imperial Data'!$AC$4*'Imperial Data'!$AC$5)-C74)*$H$6)</f>
        <v>0.40819163733333497</v>
      </c>
      <c r="Q74" s="30">
        <f t="shared" si="9"/>
        <v>40.819163733333497</v>
      </c>
      <c r="R74" s="30">
        <f>IF(B74=0,"",(((1/12)*'Imperial Data'!$AC$5*'Imperial Data'!$AC$7)-D74)*$H$6)</f>
        <v>0.72592059837037071</v>
      </c>
      <c r="S74" s="30">
        <f t="shared" si="10"/>
        <v>7.2592059837037066</v>
      </c>
      <c r="T74" s="30">
        <f t="shared" si="0"/>
        <v>48.924412009999998</v>
      </c>
      <c r="U74" s="30">
        <f t="shared" si="1"/>
        <v>12.660721329999999</v>
      </c>
      <c r="V74" s="30">
        <f t="shared" si="11"/>
        <v>71.291034705999991</v>
      </c>
      <c r="W74" s="30">
        <f t="shared" si="12"/>
        <v>31.334210575777778</v>
      </c>
      <c r="X74" s="31">
        <f t="shared" si="2"/>
        <v>41.040111941777788</v>
      </c>
      <c r="Y74" s="30">
        <f t="shared" si="13"/>
        <v>101.75</v>
      </c>
    </row>
    <row r="75" spans="1:25" x14ac:dyDescent="0.2">
      <c r="A75" s="2">
        <v>62</v>
      </c>
      <c r="B75" s="34">
        <f t="shared" si="14"/>
        <v>20</v>
      </c>
      <c r="C75" s="30">
        <f>IF(B75=0,"",IF('Imperial Data'!AG64&gt;=1, INDEX(Imperial_Incremental[], MATCH('Imperial Data'!AG64, Imperial_Incremental[Height], 1), MATCH('Cumulative Volumes Imperial'!$F$4, Imperial_Incremental[#Headers], 0)), 0))</f>
        <v>3.9945252500000024</v>
      </c>
      <c r="D75" s="30">
        <f>IF(B75=0,"",IF('Imperial Data'!AG64&gt;=1, INDEX(Imperial_Incremental[], MATCH('Imperial Data'!AG64, Imperial_Incremental[Height], 1), MATCH('Cumulative Volumes Imperial'!$F$4 &amp; "EC", Imperial_Incremental[#Headers], 0)), 0))</f>
        <v>1.0203583600000012</v>
      </c>
      <c r="E75" s="30">
        <f t="shared" si="15"/>
        <v>399.45252500000026</v>
      </c>
      <c r="F75" s="30">
        <f t="shared" si="3"/>
        <v>10.203583600000012</v>
      </c>
      <c r="G75" s="30">
        <f>IF(B75=0,"",IF('Cumulative Volumes Imperial'!$AQ$17=FALSE,I75,H75))</f>
        <v>49.470889893333201</v>
      </c>
      <c r="H75" s="30">
        <f t="shared" si="4"/>
        <v>49.470889893333201</v>
      </c>
      <c r="I75" s="30">
        <f t="shared" si="5"/>
        <v>47.138343597036972</v>
      </c>
      <c r="J75" s="30">
        <f>IF(B75="","",IF('Cumulative Volumes Imperial'!$AQ$17=FALSE,L75,K75))</f>
        <v>459.12699849333347</v>
      </c>
      <c r="K75" s="30">
        <f t="shared" si="6"/>
        <v>459.12699849333347</v>
      </c>
      <c r="L75" s="30">
        <f t="shared" si="7"/>
        <v>456.79445219703723</v>
      </c>
      <c r="M75" s="30">
        <f>IF($E$8+45+$E$9&gt;989,"FALSE",IF(B75="","",IF('Cumulative Volumes Imperial'!$AQ$17=FALSE,O75,N75)))</f>
        <v>7033.7120892666662</v>
      </c>
      <c r="N75" s="30">
        <f t="shared" si="8"/>
        <v>7033.7120892666662</v>
      </c>
      <c r="O75" s="30">
        <f>IF(B75=0,"",IF('Cumulative Volumes Imperial'!$AQ$17=FALSE,(V75*$E$4)+(W75*$E$5),N75))</f>
        <v>7033.7120892666662</v>
      </c>
      <c r="P75" s="30">
        <f>IF(B75=0,"",(((1/12)*'Imperial Data'!$AC$4*'Imperial Data'!$AC$5)-C75)*$H$6)</f>
        <v>0.39916073333333274</v>
      </c>
      <c r="Q75" s="30">
        <f t="shared" si="9"/>
        <v>39.916073333333273</v>
      </c>
      <c r="R75" s="30">
        <f>IF(B75=0,"",(((1/12)*'Imperial Data'!$AC$5*'Imperial Data'!$AC$7)-D75)*$H$6)</f>
        <v>0.72222702637036973</v>
      </c>
      <c r="S75" s="30">
        <f t="shared" si="10"/>
        <v>7.2222702637036971</v>
      </c>
      <c r="T75" s="30">
        <f t="shared" si="0"/>
        <v>44.952464020000001</v>
      </c>
      <c r="U75" s="30">
        <f t="shared" si="1"/>
        <v>11.649596900000001</v>
      </c>
      <c r="V75" s="30">
        <f t="shared" si="11"/>
        <v>66.91089507866667</v>
      </c>
      <c r="W75" s="30">
        <f t="shared" si="12"/>
        <v>29.597165547407407</v>
      </c>
      <c r="X75" s="31">
        <f t="shared" si="2"/>
        <v>39.905999706074084</v>
      </c>
      <c r="Y75" s="30">
        <f t="shared" si="13"/>
        <v>101.66666666666667</v>
      </c>
    </row>
    <row r="76" spans="1:25" x14ac:dyDescent="0.2">
      <c r="A76" s="2">
        <v>63</v>
      </c>
      <c r="B76" s="34">
        <f t="shared" si="14"/>
        <v>19</v>
      </c>
      <c r="C76" s="30">
        <f>IF(B76=0,"",IF('Imperial Data'!AG65&gt;=1, INDEX(Imperial_Incremental[], MATCH('Imperial Data'!AG65, Imperial_Incremental[Height], 1), MATCH('Cumulative Volumes Imperial'!$F$4, Imperial_Incremental[#Headers], 0)), 0))</f>
        <v>4.0159295599999965</v>
      </c>
      <c r="D76" s="30">
        <f>IF(B76=0,"",IF('Imperial Data'!AG65&gt;=1, INDEX(Imperial_Incremental[], MATCH('Imperial Data'!AG65, Imperial_Incremental[Height], 1), MATCH('Cumulative Volumes Imperial'!$F$4 &amp; "EC", Imperial_Incremental[#Headers], 0)), 0))</f>
        <v>1.0303284899999987</v>
      </c>
      <c r="E76" s="30">
        <f t="shared" si="15"/>
        <v>401.59295599999962</v>
      </c>
      <c r="F76" s="30">
        <f t="shared" si="3"/>
        <v>10.303284899999987</v>
      </c>
      <c r="G76" s="30">
        <f>IF(B76=0,"",IF('Cumulative Volumes Imperial'!$AQ$17=FALSE,I76,H76))</f>
        <v>48.574836973333461</v>
      </c>
      <c r="H76" s="30">
        <f t="shared" si="4"/>
        <v>48.574836973333461</v>
      </c>
      <c r="I76" s="30">
        <f t="shared" si="5"/>
        <v>46.242290677037225</v>
      </c>
      <c r="J76" s="30">
        <f>IF(B76="","",IF('Cumulative Volumes Imperial'!$AQ$17=FALSE,L76,K76))</f>
        <v>460.47107787333306</v>
      </c>
      <c r="K76" s="30">
        <f t="shared" si="6"/>
        <v>460.47107787333306</v>
      </c>
      <c r="L76" s="30">
        <f t="shared" si="7"/>
        <v>458.13853157703682</v>
      </c>
      <c r="M76" s="30">
        <f>IF($E$8+45+$E$9&gt;989,"FALSE",IF(B76="","",IF('Cumulative Volumes Imperial'!$AQ$17=FALSE,O76,N76)))</f>
        <v>6574.5850907733329</v>
      </c>
      <c r="N76" s="30">
        <f t="shared" si="8"/>
        <v>6574.5850907733329</v>
      </c>
      <c r="O76" s="30">
        <f>IF(B76=0,"",IF('Cumulative Volumes Imperial'!$AQ$17=FALSE,(V76*$E$4)+(W76*$E$5),N76))</f>
        <v>6574.5850907733329</v>
      </c>
      <c r="P76" s="30">
        <f>IF(B76=0,"",(((1/12)*'Imperial Data'!$AC$4*'Imperial Data'!$AC$5)-C76)*$H$6)</f>
        <v>0.39059900933333513</v>
      </c>
      <c r="Q76" s="30">
        <f t="shared" si="9"/>
        <v>39.059900933333516</v>
      </c>
      <c r="R76" s="30">
        <f>IF(B76=0,"",(((1/12)*'Imperial Data'!$AC$5*'Imperial Data'!$AC$7)-D76)*$H$6)</f>
        <v>0.71823897437037076</v>
      </c>
      <c r="S76" s="30">
        <f t="shared" si="10"/>
        <v>7.1823897437037072</v>
      </c>
      <c r="T76" s="30">
        <f t="shared" si="0"/>
        <v>40.957938769999998</v>
      </c>
      <c r="U76" s="30">
        <f t="shared" si="1"/>
        <v>10.629238539999999</v>
      </c>
      <c r="V76" s="30">
        <f t="shared" si="11"/>
        <v>62.517209095333342</v>
      </c>
      <c r="W76" s="30">
        <f t="shared" si="12"/>
        <v>27.854580161037035</v>
      </c>
      <c r="X76" s="31">
        <f t="shared" si="2"/>
        <v>38.784611946370383</v>
      </c>
      <c r="Y76" s="30">
        <f t="shared" si="13"/>
        <v>101.58333333333333</v>
      </c>
    </row>
    <row r="77" spans="1:25" x14ac:dyDescent="0.2">
      <c r="A77" s="2">
        <v>64</v>
      </c>
      <c r="B77" s="34">
        <f t="shared" si="14"/>
        <v>18</v>
      </c>
      <c r="C77" s="30">
        <f>IF(B77=0,"",IF('Imperial Data'!AG66&gt;=1, INDEX(Imperial_Incremental[], MATCH('Imperial Data'!AG66, Imperial_Incremental[Height], 1), MATCH('Cumulative Volumes Imperial'!$F$4, Imperial_Incremental[#Headers], 0)), 0))</f>
        <v>4.0362060200000016</v>
      </c>
      <c r="D77" s="30">
        <f>IF(B77=0,"",IF('Imperial Data'!AG66&gt;=1, INDEX(Imperial_Incremental[], MATCH('Imperial Data'!AG66, Imperial_Incremental[Height], 1), MATCH('Cumulative Volumes Imperial'!$F$4 &amp; "EC", Imperial_Incremental[#Headers], 0)), 0))</f>
        <v>1.0387091000000002</v>
      </c>
      <c r="E77" s="30">
        <f t="shared" si="15"/>
        <v>403.62060200000019</v>
      </c>
      <c r="F77" s="30">
        <f t="shared" si="3"/>
        <v>10.387091000000002</v>
      </c>
      <c r="G77" s="30">
        <f>IF(B77=0,"",IF('Cumulative Volumes Imperial'!$AQ$17=FALSE,I77,H77))</f>
        <v>47.730256133333228</v>
      </c>
      <c r="H77" s="30">
        <f t="shared" si="4"/>
        <v>47.730256133333228</v>
      </c>
      <c r="I77" s="30">
        <f t="shared" si="5"/>
        <v>45.397709837037006</v>
      </c>
      <c r="J77" s="30">
        <f>IF(B77="","",IF('Cumulative Volumes Imperial'!$AQ$17=FALSE,L77,K77))</f>
        <v>461.73794913333342</v>
      </c>
      <c r="K77" s="30">
        <f t="shared" si="6"/>
        <v>461.73794913333342</v>
      </c>
      <c r="L77" s="30">
        <f t="shared" si="7"/>
        <v>459.40540283703717</v>
      </c>
      <c r="M77" s="30">
        <f>IF($E$8+45+$E$9&gt;989,"FALSE",IF(B77="","",IF('Cumulative Volumes Imperial'!$AQ$17=FALSE,O77,N77)))</f>
        <v>6114.1140128999996</v>
      </c>
      <c r="N77" s="30">
        <f t="shared" si="8"/>
        <v>6114.1140128999996</v>
      </c>
      <c r="O77" s="30">
        <f>IF(B77=0,"",IF('Cumulative Volumes Imperial'!$AQ$17=FALSE,(V77*$E$4)+(W77*$E$5),N77))</f>
        <v>6114.1140128999996</v>
      </c>
      <c r="P77" s="30">
        <f>IF(B77=0,"",(((1/12)*'Imperial Data'!$AC$4*'Imperial Data'!$AC$5)-C77)*$H$6)</f>
        <v>0.38248842533333305</v>
      </c>
      <c r="Q77" s="30">
        <f t="shared" si="9"/>
        <v>38.248842533333303</v>
      </c>
      <c r="R77" s="30">
        <f>IF(B77=0,"",(((1/12)*'Imperial Data'!$AC$5*'Imperial Data'!$AC$7)-D77)*$H$6)</f>
        <v>0.7148867303703702</v>
      </c>
      <c r="S77" s="30">
        <f t="shared" si="10"/>
        <v>7.1488673037037023</v>
      </c>
      <c r="T77" s="30">
        <f t="shared" si="0"/>
        <v>36.942009210000002</v>
      </c>
      <c r="U77" s="30">
        <f t="shared" si="1"/>
        <v>9.5989100500000006</v>
      </c>
      <c r="V77" s="30">
        <f t="shared" si="11"/>
        <v>58.11068052600001</v>
      </c>
      <c r="W77" s="30">
        <f t="shared" si="12"/>
        <v>26.106012696666664</v>
      </c>
      <c r="X77" s="31">
        <f t="shared" si="2"/>
        <v>37.675773962666675</v>
      </c>
      <c r="Y77" s="30">
        <f t="shared" si="13"/>
        <v>101.5</v>
      </c>
    </row>
    <row r="78" spans="1:25" x14ac:dyDescent="0.2">
      <c r="A78" s="2">
        <v>65</v>
      </c>
      <c r="B78" s="34">
        <f t="shared" si="14"/>
        <v>17</v>
      </c>
      <c r="C78" s="30">
        <f>IF(B78=0,"",IF('Imperial Data'!AG67&gt;=1, INDEX(Imperial_Incremental[], MATCH('Imperial Data'!AG67, Imperial_Incremental[Height], 1), MATCH('Cumulative Volumes Imperial'!$F$4, Imperial_Incremental[#Headers], 0)), 0))</f>
        <v>4.0554265799999989</v>
      </c>
      <c r="D78" s="30">
        <f>IF(B78=0,"",IF('Imperial Data'!AG67&gt;=1, INDEX(Imperial_Incremental[], MATCH('Imperial Data'!AG67, Imperial_Incremental[Height], 1), MATCH('Cumulative Volumes Imperial'!$F$4 &amp; "EC", Imperial_Incremental[#Headers], 0)), 0))</f>
        <v>1.0463667000000001</v>
      </c>
      <c r="E78" s="30">
        <f t="shared" ref="E78:E141" si="16">IF(B78=0,"",$E$4*C78)</f>
        <v>405.5426579999999</v>
      </c>
      <c r="F78" s="30">
        <f t="shared" ref="F78:F141" si="17">IF(B78=0,"",$E$5*D78)</f>
        <v>10.463667000000001</v>
      </c>
      <c r="G78" s="30">
        <f>IF(B78=0,"",IF('Cumulative Volumes Imperial'!$AQ$17=FALSE,I78,H78))</f>
        <v>46.930803333333351</v>
      </c>
      <c r="H78" s="30">
        <f t="shared" ref="H78:H141" si="18">IF(B78=0,"",$H$6*($E$10*(1/12)-(E78+F78)))</f>
        <v>46.930803333333351</v>
      </c>
      <c r="I78" s="30">
        <f t="shared" ref="I78:I141" si="19">IF(B78=0,"",Q78+S78)</f>
        <v>44.598257037037115</v>
      </c>
      <c r="J78" s="30">
        <f>IF(B78="","",IF('Cumulative Volumes Imperial'!$AQ$17=FALSE,L78,K78))</f>
        <v>462.93712833333325</v>
      </c>
      <c r="K78" s="30">
        <f t="shared" ref="K78:K141" si="20">IF(B78=0,"",H78+F78+E78)</f>
        <v>462.93712833333325</v>
      </c>
      <c r="L78" s="30">
        <f t="shared" ref="L78:L141" si="21">IF(B78=0,"",E78+F78+I78)</f>
        <v>460.60458203703701</v>
      </c>
      <c r="M78" s="30">
        <f>IF($E$8+45+$E$9&gt;989,"FALSE",IF(B78="","",IF('Cumulative Volumes Imperial'!$AQ$17=FALSE,O78,N78)))</f>
        <v>5652.3760637666664</v>
      </c>
      <c r="N78" s="30">
        <f t="shared" ref="N78:N141" si="22">IF(B78=0,"",IF(B78=1,K78,N79+K78))</f>
        <v>5652.3760637666664</v>
      </c>
      <c r="O78" s="30">
        <f>IF(B78=0,"",IF('Cumulative Volumes Imperial'!$AQ$17=FALSE,(V78*$E$4)+(W78*$E$5),N78))</f>
        <v>5652.3760637666664</v>
      </c>
      <c r="P78" s="30">
        <f>IF(B78=0,"",(((1/12)*'Imperial Data'!$AC$4*'Imperial Data'!$AC$5)-C78)*$H$6)</f>
        <v>0.37480020133333414</v>
      </c>
      <c r="Q78" s="30">
        <f t="shared" ref="Q78:Q141" si="23">IF(B78=0,"",P78*$E$4)</f>
        <v>37.480020133333412</v>
      </c>
      <c r="R78" s="30">
        <f>IF(B78=0,"",(((1/12)*'Imperial Data'!$AC$5*'Imperial Data'!$AC$7)-D78)*$H$6)</f>
        <v>0.71182369037037019</v>
      </c>
      <c r="S78" s="30">
        <f t="shared" ref="S78:S141" si="24">IF(B78=0,"",R78*$E$5)</f>
        <v>7.1182369037037017</v>
      </c>
      <c r="T78" s="30">
        <f t="shared" ref="T78:T141" si="25">IF(B78=0,"",IF(B78=1,C78,T79+C78))</f>
        <v>32.90580319</v>
      </c>
      <c r="U78" s="30">
        <f t="shared" ref="U78:U141" si="26">IF(B78=0,"",IF(B78=1,D78,U79+D78))</f>
        <v>8.5602009500000005</v>
      </c>
      <c r="V78" s="30">
        <f t="shared" ref="V78:V141" si="27">IF(B78=0,"",IF(B78=1,C78+P78,V79+C78+P78))</f>
        <v>53.691986080666673</v>
      </c>
      <c r="W78" s="30">
        <f t="shared" si="12"/>
        <v>24.352416866296295</v>
      </c>
      <c r="X78" s="31">
        <f t="shared" ref="X78:X141" si="28">IF(B78=0,"",IF(B78=1,P78+R78,(X79+P78+R78)))</f>
        <v>36.578398806962973</v>
      </c>
      <c r="Y78" s="30">
        <f t="shared" si="13"/>
        <v>101.41666666666667</v>
      </c>
    </row>
    <row r="79" spans="1:25" x14ac:dyDescent="0.2">
      <c r="A79" s="2">
        <v>66</v>
      </c>
      <c r="B79" s="34">
        <f t="shared" si="14"/>
        <v>16</v>
      </c>
      <c r="C79" s="30">
        <f>IF(B79=0,"",IF('Imperial Data'!AG68&gt;=1, INDEX(Imperial_Incremental[], MATCH('Imperial Data'!AG68, Imperial_Incremental[Height], 1), MATCH('Cumulative Volumes Imperial'!$F$4, Imperial_Incremental[#Headers], 0)), 0))</f>
        <v>4.0735517200000011</v>
      </c>
      <c r="D79" s="30">
        <f>IF(B79=0,"",IF('Imperial Data'!AG68&gt;=1, INDEX(Imperial_Incremental[], MATCH('Imperial Data'!AG68, Imperial_Incremental[Height], 1), MATCH('Cumulative Volumes Imperial'!$F$4 &amp; "EC", Imperial_Incremental[#Headers], 0)), 0))</f>
        <v>1.0540244599999999</v>
      </c>
      <c r="E79" s="30">
        <f t="shared" si="16"/>
        <v>407.3551720000001</v>
      </c>
      <c r="F79" s="30">
        <f t="shared" si="17"/>
        <v>10.540244599999999</v>
      </c>
      <c r="G79" s="30">
        <f>IF(B79=0,"",IF('Cumulative Volumes Imperial'!$AQ$17=FALSE,I79,H79))</f>
        <v>46.175166693333267</v>
      </c>
      <c r="H79" s="30">
        <f t="shared" si="18"/>
        <v>46.175166693333267</v>
      </c>
      <c r="I79" s="30">
        <f t="shared" si="19"/>
        <v>43.842620397037024</v>
      </c>
      <c r="J79" s="30">
        <f>IF(B79="","",IF('Cumulative Volumes Imperial'!$AQ$17=FALSE,L79,K79))</f>
        <v>464.07058329333336</v>
      </c>
      <c r="K79" s="30">
        <f t="shared" si="20"/>
        <v>464.07058329333336</v>
      </c>
      <c r="L79" s="30">
        <f t="shared" si="21"/>
        <v>461.73803699703711</v>
      </c>
      <c r="M79" s="30">
        <f>IF($E$8+45+$E$9&gt;989,"FALSE",IF(B79="","",IF('Cumulative Volumes Imperial'!$AQ$17=FALSE,O79,N79)))</f>
        <v>5189.4389354333334</v>
      </c>
      <c r="N79" s="30">
        <f t="shared" si="22"/>
        <v>5189.4389354333334</v>
      </c>
      <c r="O79" s="30">
        <f>IF(B79=0,"",IF('Cumulative Volumes Imperial'!$AQ$17=FALSE,(V79*$E$4)+(W79*$E$5),N79))</f>
        <v>5189.4389354333334</v>
      </c>
      <c r="P79" s="30">
        <f>IF(B79=0,"",(((1/12)*'Imperial Data'!$AC$4*'Imperial Data'!$AC$5)-C79)*$H$6)</f>
        <v>0.36755014533333324</v>
      </c>
      <c r="Q79" s="30">
        <f t="shared" si="23"/>
        <v>36.755014533333323</v>
      </c>
      <c r="R79" s="30">
        <f>IF(B79=0,"",(((1/12)*'Imperial Data'!$AC$5*'Imperial Data'!$AC$7)-D79)*$H$6)</f>
        <v>0.70876058637037032</v>
      </c>
      <c r="S79" s="30">
        <f t="shared" si="24"/>
        <v>7.0876058637037032</v>
      </c>
      <c r="T79" s="30">
        <f t="shared" si="25"/>
        <v>28.850376610000001</v>
      </c>
      <c r="U79" s="30">
        <f t="shared" si="26"/>
        <v>7.5138342500000004</v>
      </c>
      <c r="V79" s="30">
        <f t="shared" si="27"/>
        <v>49.261759299333342</v>
      </c>
      <c r="W79" s="30">
        <f t="shared" ref="W79:W142" si="29">IF(B79=0,"",IF(B79=1,D79+R79,W80+D79+R79))</f>
        <v>22.594226475925925</v>
      </c>
      <c r="X79" s="31">
        <f t="shared" si="28"/>
        <v>35.491774915259263</v>
      </c>
      <c r="Y79" s="30">
        <f t="shared" ref="Y79:Y142" si="30">IF(B79=0,"",$E$7+B79/12)</f>
        <v>101.33333333333333</v>
      </c>
    </row>
    <row r="80" spans="1:25" x14ac:dyDescent="0.2">
      <c r="A80" s="2">
        <v>67</v>
      </c>
      <c r="B80" s="34">
        <f t="shared" ref="B80:B143" si="31">IF(B79=0,0,IF(B79=" ","",IF(B79-1&gt;0,B79-1,0)))</f>
        <v>15</v>
      </c>
      <c r="C80" s="30">
        <f>IF(B80=0,"",IF('Imperial Data'!AG69&gt;=1, INDEX(Imperial_Incremental[], MATCH('Imperial Data'!AG69, Imperial_Incremental[Height], 1), MATCH('Cumulative Volumes Imperial'!$F$4, Imperial_Incremental[#Headers], 0)), 0))</f>
        <v>4.0905063000000013</v>
      </c>
      <c r="D80" s="30">
        <f>IF(B80=0,"",IF('Imperial Data'!AG69&gt;=1, INDEX(Imperial_Incremental[], MATCH('Imperial Data'!AG69, Imperial_Incremental[Height], 1), MATCH('Cumulative Volumes Imperial'!$F$4 &amp; "EC", Imperial_Incremental[#Headers], 0)), 0))</f>
        <v>1.0504466400000005</v>
      </c>
      <c r="E80" s="30">
        <f t="shared" si="16"/>
        <v>409.05063000000013</v>
      </c>
      <c r="F80" s="30">
        <f t="shared" si="17"/>
        <v>10.504466400000005</v>
      </c>
      <c r="G80" s="30">
        <f>IF(B80=0,"",IF('Cumulative Volumes Imperial'!$AQ$17=FALSE,I80,H80))</f>
        <v>45.511294773333248</v>
      </c>
      <c r="H80" s="30">
        <f t="shared" si="18"/>
        <v>45.511294773333248</v>
      </c>
      <c r="I80" s="30">
        <f t="shared" si="19"/>
        <v>43.178748477037018</v>
      </c>
      <c r="J80" s="30">
        <f>IF(B80="","",IF('Cumulative Volumes Imperial'!$AQ$17=FALSE,L80,K80))</f>
        <v>465.06639117333339</v>
      </c>
      <c r="K80" s="30">
        <f t="shared" si="20"/>
        <v>465.06639117333339</v>
      </c>
      <c r="L80" s="30">
        <f t="shared" si="21"/>
        <v>462.73384487703714</v>
      </c>
      <c r="M80" s="30">
        <f>IF($E$8+45+$E$9&gt;989,"FALSE",IF(B80="","",IF('Cumulative Volumes Imperial'!$AQ$17=FALSE,O80,N80)))</f>
        <v>4725.3683521399998</v>
      </c>
      <c r="N80" s="30">
        <f t="shared" si="22"/>
        <v>4725.3683521399998</v>
      </c>
      <c r="O80" s="30">
        <f>IF(B80=0,"",IF('Cumulative Volumes Imperial'!$AQ$17=FALSE,(V80*$E$4)+(W80*$E$5),N80))</f>
        <v>4725.3683521399998</v>
      </c>
      <c r="P80" s="30">
        <f>IF(B80=0,"",(((1/12)*'Imperial Data'!$AC$4*'Imperial Data'!$AC$5)-C80)*$H$6)</f>
        <v>0.3607683133333332</v>
      </c>
      <c r="Q80" s="30">
        <f t="shared" si="23"/>
        <v>36.076831333333317</v>
      </c>
      <c r="R80" s="30">
        <f>IF(B80=0,"",(((1/12)*'Imperial Data'!$AC$5*'Imperial Data'!$AC$7)-D80)*$H$6)</f>
        <v>0.71019171437036999</v>
      </c>
      <c r="S80" s="30">
        <f t="shared" si="24"/>
        <v>7.1019171437036999</v>
      </c>
      <c r="T80" s="30">
        <f t="shared" si="25"/>
        <v>24.77682489</v>
      </c>
      <c r="U80" s="30">
        <f t="shared" si="26"/>
        <v>6.4598097900000004</v>
      </c>
      <c r="V80" s="30">
        <f t="shared" si="27"/>
        <v>44.820657434000005</v>
      </c>
      <c r="W80" s="30">
        <f t="shared" si="29"/>
        <v>20.831441429555554</v>
      </c>
      <c r="X80" s="31">
        <f t="shared" si="28"/>
        <v>34.415464183555564</v>
      </c>
      <c r="Y80" s="30">
        <f t="shared" si="30"/>
        <v>101.25</v>
      </c>
    </row>
    <row r="81" spans="1:25" x14ac:dyDescent="0.2">
      <c r="A81" s="2">
        <v>68</v>
      </c>
      <c r="B81" s="34">
        <f t="shared" si="31"/>
        <v>14</v>
      </c>
      <c r="C81" s="30">
        <f>IF(B81=0,"",IF('Imperial Data'!AG70&gt;=1, INDEX(Imperial_Incremental[], MATCH('Imperial Data'!AG70, Imperial_Incremental[Height], 1), MATCH('Cumulative Volumes Imperial'!$F$4, Imperial_Incremental[#Headers], 0)), 0))</f>
        <v>4.1066937699999997</v>
      </c>
      <c r="D81" s="30">
        <f>IF(B81=0,"",IF('Imperial Data'!AG70&gt;=1, INDEX(Imperial_Incremental[], MATCH('Imperial Data'!AG70, Imperial_Incremental[Height], 1), MATCH('Cumulative Volumes Imperial'!$F$4 &amp; "EC", Imperial_Incremental[#Headers], 0)), 0))</f>
        <v>1.0566544799999997</v>
      </c>
      <c r="E81" s="30">
        <f t="shared" si="16"/>
        <v>410.66937699999994</v>
      </c>
      <c r="F81" s="30">
        <f t="shared" si="17"/>
        <v>10.566544799999997</v>
      </c>
      <c r="G81" s="30">
        <f>IF(B81=0,"",IF('Cumulative Volumes Imperial'!$AQ$17=FALSE,I81,H81))</f>
        <v>44.838964613333339</v>
      </c>
      <c r="H81" s="30">
        <f t="shared" si="18"/>
        <v>44.838964613333339</v>
      </c>
      <c r="I81" s="30">
        <f t="shared" si="19"/>
        <v>42.506418317037081</v>
      </c>
      <c r="J81" s="30">
        <f>IF(B81="","",IF('Cumulative Volumes Imperial'!$AQ$17=FALSE,L81,K81))</f>
        <v>466.07488641333327</v>
      </c>
      <c r="K81" s="30">
        <f t="shared" si="20"/>
        <v>466.07488641333327</v>
      </c>
      <c r="L81" s="30">
        <f t="shared" si="21"/>
        <v>463.74234011703697</v>
      </c>
      <c r="M81" s="30">
        <f>IF($E$8+45+$E$9&gt;989,"FALSE",IF(B81="","",IF('Cumulative Volumes Imperial'!$AQ$17=FALSE,O81,N81)))</f>
        <v>4260.3019609666662</v>
      </c>
      <c r="N81" s="30">
        <f t="shared" si="22"/>
        <v>4260.3019609666662</v>
      </c>
      <c r="O81" s="30">
        <f>IF(B81=0,"",IF('Cumulative Volumes Imperial'!$AQ$17=FALSE,(V81*$E$4)+(W81*$E$5),N81))</f>
        <v>4260.3019609666662</v>
      </c>
      <c r="P81" s="30">
        <f>IF(B81=0,"",(((1/12)*'Imperial Data'!$AC$4*'Imperial Data'!$AC$5)-C81)*$H$6)</f>
        <v>0.3542933253333338</v>
      </c>
      <c r="Q81" s="30">
        <f t="shared" si="23"/>
        <v>35.42933253333338</v>
      </c>
      <c r="R81" s="30">
        <f>IF(B81=0,"",(((1/12)*'Imperial Data'!$AC$5*'Imperial Data'!$AC$7)-D81)*$H$6)</f>
        <v>0.70770857837037038</v>
      </c>
      <c r="S81" s="30">
        <f t="shared" si="24"/>
        <v>7.077085783703704</v>
      </c>
      <c r="T81" s="30">
        <f t="shared" si="25"/>
        <v>20.686318589999999</v>
      </c>
      <c r="U81" s="30">
        <f t="shared" si="26"/>
        <v>5.4093631499999999</v>
      </c>
      <c r="V81" s="30">
        <f t="shared" si="27"/>
        <v>40.369382820666672</v>
      </c>
      <c r="W81" s="30">
        <f t="shared" si="29"/>
        <v>19.070803075185182</v>
      </c>
      <c r="X81" s="31">
        <f t="shared" si="28"/>
        <v>33.344504155851865</v>
      </c>
      <c r="Y81" s="30">
        <f t="shared" si="30"/>
        <v>101.16666666666667</v>
      </c>
    </row>
    <row r="82" spans="1:25" x14ac:dyDescent="0.2">
      <c r="A82" s="2">
        <v>69</v>
      </c>
      <c r="B82" s="34">
        <f t="shared" si="31"/>
        <v>13</v>
      </c>
      <c r="C82" s="30">
        <f>IF(B82=0,"",IF('Imperial Data'!AG71&gt;=1, INDEX(Imperial_Incremental[], MATCH('Imperial Data'!AG71, Imperial_Incremental[Height], 1), MATCH('Cumulative Volumes Imperial'!$F$4, Imperial_Incremental[#Headers], 0)), 0))</f>
        <v>4.1220993999999997</v>
      </c>
      <c r="D82" s="30">
        <f>IF(B82=0,"",IF('Imperial Data'!AG71&gt;=1, INDEX(Imperial_Incremental[], MATCH('Imperial Data'!AG71, Imperial_Incremental[Height], 1), MATCH('Cumulative Volumes Imperial'!$F$4 &amp; "EC", Imperial_Incremental[#Headers], 0)), 0))</f>
        <v>1.07545979</v>
      </c>
      <c r="E82" s="30">
        <f t="shared" si="16"/>
        <v>412.20993999999996</v>
      </c>
      <c r="F82" s="30">
        <f t="shared" si="17"/>
        <v>10.7545979</v>
      </c>
      <c r="G82" s="30">
        <f>IF(B82=0,"",IF('Cumulative Volumes Imperial'!$AQ$17=FALSE,I82,H82))</f>
        <v>44.14751817333331</v>
      </c>
      <c r="H82" s="30">
        <f t="shared" si="18"/>
        <v>44.14751817333331</v>
      </c>
      <c r="I82" s="30">
        <f t="shared" si="19"/>
        <v>41.814971877037088</v>
      </c>
      <c r="J82" s="30">
        <f>IF(B82="","",IF('Cumulative Volumes Imperial'!$AQ$17=FALSE,L82,K82))</f>
        <v>467.11205607333329</v>
      </c>
      <c r="K82" s="30">
        <f t="shared" si="20"/>
        <v>467.11205607333329</v>
      </c>
      <c r="L82" s="30">
        <f t="shared" si="21"/>
        <v>464.77950977703705</v>
      </c>
      <c r="M82" s="30">
        <f>IF($E$8+45+$E$9&gt;989,"FALSE",IF(B82="","",IF('Cumulative Volumes Imperial'!$AQ$17=FALSE,O82,N82)))</f>
        <v>3794.2270745533328</v>
      </c>
      <c r="N82" s="30">
        <f t="shared" si="22"/>
        <v>3794.2270745533328</v>
      </c>
      <c r="O82" s="30">
        <f>IF(B82=0,"",IF('Cumulative Volumes Imperial'!$AQ$17=FALSE,(V82*$E$4)+(W82*$E$5),N82))</f>
        <v>3794.2270745533328</v>
      </c>
      <c r="P82" s="30">
        <f>IF(B82=0,"",(((1/12)*'Imperial Data'!$AC$4*'Imperial Data'!$AC$5)-C82)*$H$6)</f>
        <v>0.34813107333333382</v>
      </c>
      <c r="Q82" s="30">
        <f t="shared" si="23"/>
        <v>34.813107333333384</v>
      </c>
      <c r="R82" s="30">
        <f>IF(B82=0,"",(((1/12)*'Imperial Data'!$AC$5*'Imperial Data'!$AC$7)-D82)*$H$6)</f>
        <v>0.70018645437037019</v>
      </c>
      <c r="S82" s="30">
        <f t="shared" si="24"/>
        <v>7.0018645437037019</v>
      </c>
      <c r="T82" s="30">
        <f t="shared" si="25"/>
        <v>16.579624819999999</v>
      </c>
      <c r="U82" s="30">
        <f t="shared" si="26"/>
        <v>4.3527086700000002</v>
      </c>
      <c r="V82" s="30">
        <f t="shared" si="27"/>
        <v>35.908395725333342</v>
      </c>
      <c r="W82" s="30">
        <f t="shared" si="29"/>
        <v>17.306440016814815</v>
      </c>
      <c r="X82" s="31">
        <f t="shared" si="28"/>
        <v>32.282502252148156</v>
      </c>
      <c r="Y82" s="30">
        <f t="shared" si="30"/>
        <v>101.08333333333333</v>
      </c>
    </row>
    <row r="83" spans="1:25" x14ac:dyDescent="0.2">
      <c r="A83" s="2">
        <v>70</v>
      </c>
      <c r="B83" s="34">
        <f t="shared" si="31"/>
        <v>12</v>
      </c>
      <c r="C83" s="30">
        <f>IF(B83=0,"",IF('Imperial Data'!AG72&gt;=1, INDEX(Imperial_Incremental[], MATCH('Imperial Data'!AG72, Imperial_Incremental[Height], 1), MATCH('Cumulative Volumes Imperial'!$F$4, Imperial_Incremental[#Headers], 0)), 0))</f>
        <v>4.1365370299999995</v>
      </c>
      <c r="D83" s="30">
        <f>IF(B83=0,"",IF('Imperial Data'!AG72&gt;=1, INDEX(Imperial_Incremental[], MATCH('Imperial Data'!AG72, Imperial_Incremental[Height], 1), MATCH('Cumulative Volumes Imperial'!$F$4 &amp; "EC", Imperial_Incremental[#Headers], 0)), 0))</f>
        <v>1.0827729100000001</v>
      </c>
      <c r="E83" s="30">
        <f t="shared" si="16"/>
        <v>413.65370299999995</v>
      </c>
      <c r="F83" s="30">
        <f t="shared" si="17"/>
        <v>10.827729100000001</v>
      </c>
      <c r="G83" s="30">
        <f>IF(B83=0,"",IF('Cumulative Volumes Imperial'!$AQ$17=FALSE,I83,H83))</f>
        <v>43.540760493333323</v>
      </c>
      <c r="H83" s="30">
        <f t="shared" si="18"/>
        <v>43.540760493333323</v>
      </c>
      <c r="I83" s="30">
        <f t="shared" si="19"/>
        <v>41.208214197037087</v>
      </c>
      <c r="J83" s="30">
        <f>IF(B83="","",IF('Cumulative Volumes Imperial'!$AQ$17=FALSE,L83,K83))</f>
        <v>468.02219259333327</v>
      </c>
      <c r="K83" s="30">
        <f t="shared" si="20"/>
        <v>468.02219259333327</v>
      </c>
      <c r="L83" s="30">
        <f t="shared" si="21"/>
        <v>465.68964629703703</v>
      </c>
      <c r="M83" s="30">
        <f>IF($E$8+45+$E$9&gt;989,"FALSE",IF(B83="","",IF('Cumulative Volumes Imperial'!$AQ$17=FALSE,O83,N83)))</f>
        <v>3327.1150184799994</v>
      </c>
      <c r="N83" s="30">
        <f t="shared" si="22"/>
        <v>3327.1150184799994</v>
      </c>
      <c r="O83" s="30">
        <f>IF(B83=0,"",IF('Cumulative Volumes Imperial'!$AQ$17=FALSE,(V83*$E$4)+(W83*$E$5),N83))</f>
        <v>3327.1150184799994</v>
      </c>
      <c r="P83" s="30">
        <f>IF(B83=0,"",(((1/12)*'Imperial Data'!$AC$4*'Imperial Data'!$AC$5)-C83)*$H$6)</f>
        <v>0.34235602133333387</v>
      </c>
      <c r="Q83" s="30">
        <f t="shared" si="23"/>
        <v>34.235602133333387</v>
      </c>
      <c r="R83" s="30">
        <f>IF(B83=0,"",(((1/12)*'Imperial Data'!$AC$5*'Imperial Data'!$AC$7)-D83)*$H$6)</f>
        <v>0.69726120637037026</v>
      </c>
      <c r="S83" s="30">
        <f t="shared" si="24"/>
        <v>6.9726120637037026</v>
      </c>
      <c r="T83" s="30">
        <f t="shared" si="25"/>
        <v>12.45752542</v>
      </c>
      <c r="U83" s="30">
        <f t="shared" si="26"/>
        <v>3.2772488800000001</v>
      </c>
      <c r="V83" s="30">
        <f t="shared" si="27"/>
        <v>31.438165252000008</v>
      </c>
      <c r="W83" s="30">
        <f t="shared" si="29"/>
        <v>15.530793772444444</v>
      </c>
      <c r="X83" s="31">
        <f t="shared" si="28"/>
        <v>31.23418472444445</v>
      </c>
      <c r="Y83" s="30">
        <f t="shared" si="30"/>
        <v>101</v>
      </c>
    </row>
    <row r="84" spans="1:25" x14ac:dyDescent="0.2">
      <c r="A84" s="2">
        <v>71</v>
      </c>
      <c r="B84" s="34">
        <f t="shared" si="31"/>
        <v>11</v>
      </c>
      <c r="C84" s="30">
        <f>IF(B84=0,"",IF('Imperial Data'!AG73&gt;=1, INDEX(Imperial_Incremental[], MATCH('Imperial Data'!AG73, Imperial_Incremental[Height], 1), MATCH('Cumulative Volumes Imperial'!$F$4, Imperial_Incremental[#Headers], 0)), 0))</f>
        <v>4.1499744100000004</v>
      </c>
      <c r="D84" s="30">
        <f>IF(B84=0,"",IF('Imperial Data'!AG73&gt;=1, INDEX(Imperial_Incremental[], MATCH('Imperial Data'!AG73, Imperial_Incremental[Height], 1), MATCH('Cumulative Volumes Imperial'!$F$4 &amp; "EC", Imperial_Incremental[#Headers], 0)), 0))</f>
        <v>1.0881013100000001</v>
      </c>
      <c r="E84" s="30">
        <f t="shared" si="16"/>
        <v>414.99744100000004</v>
      </c>
      <c r="F84" s="30">
        <f t="shared" si="17"/>
        <v>10.881013100000001</v>
      </c>
      <c r="G84" s="30">
        <f>IF(B84=0,"",IF('Cumulative Volumes Imperial'!$AQ$17=FALSE,I84,H84))</f>
        <v>42.981951693333286</v>
      </c>
      <c r="H84" s="30">
        <f t="shared" si="18"/>
        <v>42.981951693333286</v>
      </c>
      <c r="I84" s="30">
        <f t="shared" si="19"/>
        <v>40.64940539703705</v>
      </c>
      <c r="J84" s="30">
        <f>IF(B84="","",IF('Cumulative Volumes Imperial'!$AQ$17=FALSE,L84,K84))</f>
        <v>468.86040579333331</v>
      </c>
      <c r="K84" s="30">
        <f t="shared" si="20"/>
        <v>468.86040579333331</v>
      </c>
      <c r="L84" s="30">
        <f t="shared" si="21"/>
        <v>466.52785949703713</v>
      </c>
      <c r="M84" s="30">
        <f>IF($E$8+45+$E$9&gt;989,"FALSE",IF(B84="","",IF('Cumulative Volumes Imperial'!$AQ$17=FALSE,O84,N84)))</f>
        <v>2859.0928258866661</v>
      </c>
      <c r="N84" s="30">
        <f t="shared" si="22"/>
        <v>2859.0928258866661</v>
      </c>
      <c r="O84" s="30">
        <f>IF(B84=0,"",IF('Cumulative Volumes Imperial'!$AQ$17=FALSE,(V84*$E$4)+(W84*$E$5),N84))</f>
        <v>2859.0928258866661</v>
      </c>
      <c r="P84" s="30">
        <f>IF(B84=0,"",(((1/12)*'Imperial Data'!$AC$4*'Imperial Data'!$AC$5)-C84)*$H$6)</f>
        <v>0.33698106933333349</v>
      </c>
      <c r="Q84" s="30">
        <f t="shared" si="23"/>
        <v>33.698106933333349</v>
      </c>
      <c r="R84" s="30">
        <f>IF(B84=0,"",(((1/12)*'Imperial Data'!$AC$5*'Imperial Data'!$AC$7)-D84)*$H$6)</f>
        <v>0.69512984637037023</v>
      </c>
      <c r="S84" s="30">
        <f t="shared" si="24"/>
        <v>6.9512984637037025</v>
      </c>
      <c r="T84" s="30">
        <f t="shared" si="25"/>
        <v>8.3209883900000001</v>
      </c>
      <c r="U84" s="30">
        <f t="shared" si="26"/>
        <v>2.1944759700000001</v>
      </c>
      <c r="V84" s="30">
        <f t="shared" si="27"/>
        <v>26.959272200666675</v>
      </c>
      <c r="W84" s="30">
        <f t="shared" si="29"/>
        <v>13.750759656074074</v>
      </c>
      <c r="X84" s="31">
        <f t="shared" si="28"/>
        <v>30.194567496740746</v>
      </c>
      <c r="Y84" s="30">
        <f t="shared" si="30"/>
        <v>100.91666666666667</v>
      </c>
    </row>
    <row r="85" spans="1:25" x14ac:dyDescent="0.2">
      <c r="A85" s="2">
        <v>72</v>
      </c>
      <c r="B85" s="34">
        <f t="shared" si="31"/>
        <v>10</v>
      </c>
      <c r="C85" s="30">
        <f>IF(B85=0,"",IF('Imperial Data'!AG74&gt;=1, INDEX(Imperial_Incremental[], MATCH('Imperial Data'!AG74, Imperial_Incremental[Height], 1), MATCH('Cumulative Volumes Imperial'!$F$4, Imperial_Incremental[#Headers], 0)), 0))</f>
        <v>4.1710139799999997</v>
      </c>
      <c r="D85" s="30">
        <f>IF(B85=0,"",IF('Imperial Data'!AG74&gt;=1, INDEX(Imperial_Incremental[], MATCH('Imperial Data'!AG74, Imperial_Incremental[Height], 1), MATCH('Cumulative Volumes Imperial'!$F$4 &amp; "EC", Imperial_Incremental[#Headers], 0)), 0))</f>
        <v>1.10637466</v>
      </c>
      <c r="E85" s="30">
        <f t="shared" si="16"/>
        <v>417.10139799999996</v>
      </c>
      <c r="F85" s="30">
        <f>IF(B85=0,"",$E$5*D85)</f>
        <v>11.0637466</v>
      </c>
      <c r="G85" s="30">
        <f>IF(B85=0,"",IF('Cumulative Volumes Imperial'!$AQ$17=FALSE,I85,H85))</f>
        <v>42.06727549333332</v>
      </c>
      <c r="H85" s="30">
        <f t="shared" si="18"/>
        <v>42.06727549333332</v>
      </c>
      <c r="I85" s="30">
        <f t="shared" si="19"/>
        <v>39.734729197037083</v>
      </c>
      <c r="J85" s="30">
        <f>IF(B85="","",IF('Cumulative Volumes Imperial'!$AQ$17=FALSE,L85,K85))</f>
        <v>470.2324200933333</v>
      </c>
      <c r="K85" s="30">
        <f t="shared" si="20"/>
        <v>470.2324200933333</v>
      </c>
      <c r="L85" s="30">
        <f t="shared" si="21"/>
        <v>467.89987379703706</v>
      </c>
      <c r="M85" s="30">
        <f>IF($E$8+45+$E$9&gt;989,"FALSE",IF(B85="","",IF('Cumulative Volumes Imperial'!$AQ$17=FALSE,O85,N85)))</f>
        <v>2390.2324200933326</v>
      </c>
      <c r="N85" s="30">
        <f t="shared" si="22"/>
        <v>2390.2324200933326</v>
      </c>
      <c r="O85" s="30">
        <f>IF(B85=0,"",IF('Cumulative Volumes Imperial'!$AQ$17=FALSE,(V85*$E$4)+(W85*$E$5),N85))</f>
        <v>2390.2324200933326</v>
      </c>
      <c r="P85" s="30">
        <f>IF(B85=0,"",(((1/12)*'Imperial Data'!$AC$4*'Imperial Data'!$AC$5)-C85)*$H$6)</f>
        <v>0.32856524133333381</v>
      </c>
      <c r="Q85" s="30">
        <f t="shared" si="23"/>
        <v>32.85652413333338</v>
      </c>
      <c r="R85" s="30">
        <f>IF(B85=0,"",(((1/12)*'Imperial Data'!$AC$5*'Imperial Data'!$AC$7)-D85)*$H$6)</f>
        <v>0.68782050637037029</v>
      </c>
      <c r="S85" s="30">
        <f t="shared" si="24"/>
        <v>6.8782050637037031</v>
      </c>
      <c r="T85" s="30">
        <f t="shared" si="25"/>
        <v>4.1710139799999997</v>
      </c>
      <c r="U85" s="30">
        <f t="shared" si="26"/>
        <v>1.10637466</v>
      </c>
      <c r="V85" s="30">
        <f t="shared" si="27"/>
        <v>22.472316721333339</v>
      </c>
      <c r="W85" s="30">
        <f t="shared" si="29"/>
        <v>11.967528499703702</v>
      </c>
      <c r="X85" s="31">
        <f t="shared" si="28"/>
        <v>29.162456581037041</v>
      </c>
      <c r="Y85" s="30">
        <f t="shared" si="30"/>
        <v>100.83333333333333</v>
      </c>
    </row>
    <row r="86" spans="1:25" x14ac:dyDescent="0.2">
      <c r="A86" s="2">
        <v>73</v>
      </c>
      <c r="B86" s="34">
        <f t="shared" si="31"/>
        <v>9</v>
      </c>
      <c r="C86" s="30">
        <f>IF(B86=0,"",IF('Imperial Data'!AG75&gt;=1, INDEX(Imperial_Incremental[], MATCH('Imperial Data'!AG75, Imperial_Incremental[Height], 1), MATCH('Cumulative Volumes Imperial'!$F$4, Imperial_Incremental[#Headers], 0)), 0))</f>
        <v>0</v>
      </c>
      <c r="D86" s="30">
        <f>IF(B86=0,"",IF('Imperial Data'!AG75&gt;=1, INDEX(Imperial_Incremental[], MATCH('Imperial Data'!AG75, Imperial_Incremental[Height], 1), MATCH('Cumulative Volumes Imperial'!$F$4 &amp; "EC", Imperial_Incremental[#Headers], 0)), 0))</f>
        <v>0</v>
      </c>
      <c r="E86" s="30">
        <f t="shared" si="16"/>
        <v>0</v>
      </c>
      <c r="F86" s="30">
        <f t="shared" si="17"/>
        <v>0</v>
      </c>
      <c r="G86" s="30">
        <f>IF(B86=0,"",IF('Cumulative Volumes Imperial'!$AQ$17=FALSE,I86,H86))</f>
        <v>213.33333333333331</v>
      </c>
      <c r="H86" s="30">
        <f t="shared" si="18"/>
        <v>213.33333333333331</v>
      </c>
      <c r="I86" s="30">
        <f t="shared" si="19"/>
        <v>211.00078703703707</v>
      </c>
      <c r="J86" s="30">
        <f>IF(B86="","",IF('Cumulative Volumes Imperial'!$AQ$17=FALSE,L86,K86))</f>
        <v>213.33333333333331</v>
      </c>
      <c r="K86" s="30">
        <f t="shared" si="20"/>
        <v>213.33333333333331</v>
      </c>
      <c r="L86" s="30">
        <f t="shared" si="21"/>
        <v>211.00078703703707</v>
      </c>
      <c r="M86" s="30">
        <f>IF($E$8+45+$E$9&gt;989,"FALSE",IF(B86="","",IF('Cumulative Volumes Imperial'!$AQ$17=FALSE,O86,N86)))</f>
        <v>1919.9999999999995</v>
      </c>
      <c r="N86" s="30">
        <f t="shared" si="22"/>
        <v>1919.9999999999995</v>
      </c>
      <c r="O86" s="30">
        <f>IF(B86=0,"",IF('Cumulative Volumes Imperial'!$AQ$17=FALSE,(V86*$E$4)+(W86*$E$5),N86))</f>
        <v>1919.9999999999995</v>
      </c>
      <c r="P86" s="30">
        <f>IF(B86=0,"",(((1/12)*'Imperial Data'!$AC$4*'Imperial Data'!$AC$5)-C86)*$H$6)</f>
        <v>1.9969708333333338</v>
      </c>
      <c r="Q86" s="30">
        <f t="shared" si="23"/>
        <v>199.69708333333338</v>
      </c>
      <c r="R86" s="30">
        <f>IF(B86=0,"",(((1/12)*'Imperial Data'!$AC$5*'Imperial Data'!$AC$7)-D86)*$H$6)</f>
        <v>1.1303703703703702</v>
      </c>
      <c r="S86" s="30">
        <f t="shared" si="24"/>
        <v>11.303703703703702</v>
      </c>
      <c r="T86" s="30">
        <f t="shared" si="25"/>
        <v>0</v>
      </c>
      <c r="U86" s="30">
        <f t="shared" si="26"/>
        <v>0</v>
      </c>
      <c r="V86" s="30">
        <f t="shared" si="27"/>
        <v>17.972737500000004</v>
      </c>
      <c r="W86" s="30">
        <f t="shared" si="29"/>
        <v>10.173333333333332</v>
      </c>
      <c r="X86" s="31">
        <f t="shared" si="28"/>
        <v>28.146070833333336</v>
      </c>
      <c r="Y86" s="30">
        <f t="shared" si="30"/>
        <v>100.75</v>
      </c>
    </row>
    <row r="87" spans="1:25" x14ac:dyDescent="0.2">
      <c r="A87" s="2">
        <v>74</v>
      </c>
      <c r="B87" s="34">
        <f t="shared" si="31"/>
        <v>8</v>
      </c>
      <c r="C87" s="30">
        <f>IF(B87=0,"",IF('Imperial Data'!AG76&gt;=1, INDEX(Imperial_Incremental[], MATCH('Imperial Data'!AG76, Imperial_Incremental[Height], 1), MATCH('Cumulative Volumes Imperial'!$F$4, Imperial_Incremental[#Headers], 0)), 0))</f>
        <v>0</v>
      </c>
      <c r="D87" s="30">
        <f>IF(B87=0,"",IF('Imperial Data'!AG76&gt;=1, INDEX(Imperial_Incremental[], MATCH('Imperial Data'!AG76, Imperial_Incremental[Height], 1), MATCH('Cumulative Volumes Imperial'!$F$4 &amp; "EC", Imperial_Incremental[#Headers], 0)), 0))</f>
        <v>0</v>
      </c>
      <c r="E87" s="30">
        <f t="shared" si="16"/>
        <v>0</v>
      </c>
      <c r="F87" s="30">
        <f t="shared" si="17"/>
        <v>0</v>
      </c>
      <c r="G87" s="30">
        <f>IF(B87=0,"",IF('Cumulative Volumes Imperial'!$AQ$17=FALSE,I87,H87))</f>
        <v>213.33333333333331</v>
      </c>
      <c r="H87" s="30">
        <f t="shared" si="18"/>
        <v>213.33333333333331</v>
      </c>
      <c r="I87" s="30">
        <f t="shared" si="19"/>
        <v>211.00078703703707</v>
      </c>
      <c r="J87" s="30">
        <f>IF(B87="","",IF('Cumulative Volumes Imperial'!$AQ$17=FALSE,L87,K87))</f>
        <v>213.33333333333331</v>
      </c>
      <c r="K87" s="30">
        <f t="shared" si="20"/>
        <v>213.33333333333331</v>
      </c>
      <c r="L87" s="30">
        <f t="shared" si="21"/>
        <v>211.00078703703707</v>
      </c>
      <c r="M87" s="30">
        <f>IF($E$8+45+$E$9&gt;989,"FALSE",IF(B87="","",IF('Cumulative Volumes Imperial'!$AQ$17=FALSE,O87,N87)))</f>
        <v>1706.6666666666663</v>
      </c>
      <c r="N87" s="30">
        <f t="shared" si="22"/>
        <v>1706.6666666666663</v>
      </c>
      <c r="O87" s="30">
        <f>IF(B87=0,"",IF('Cumulative Volumes Imperial'!$AQ$17=FALSE,(V87*$E$4)+(W87*$E$5),N87))</f>
        <v>1706.6666666666663</v>
      </c>
      <c r="P87" s="30">
        <f>IF(B87=0,"",(((1/12)*'Imperial Data'!$AC$4*'Imperial Data'!$AC$5)-C87)*$H$6)</f>
        <v>1.9969708333333338</v>
      </c>
      <c r="Q87" s="30">
        <f t="shared" si="23"/>
        <v>199.69708333333338</v>
      </c>
      <c r="R87" s="30">
        <f>IF(B87=0,"",(((1/12)*'Imperial Data'!$AC$5*'Imperial Data'!$AC$7)-D87)*$H$6)</f>
        <v>1.1303703703703702</v>
      </c>
      <c r="S87" s="30">
        <f t="shared" si="24"/>
        <v>11.303703703703702</v>
      </c>
      <c r="T87" s="30">
        <f t="shared" si="25"/>
        <v>0</v>
      </c>
      <c r="U87" s="30">
        <f t="shared" si="26"/>
        <v>0</v>
      </c>
      <c r="V87" s="30">
        <f t="shared" si="27"/>
        <v>15.97576666666667</v>
      </c>
      <c r="W87" s="30">
        <f t="shared" si="29"/>
        <v>9.042962962962962</v>
      </c>
      <c r="X87" s="31">
        <f t="shared" si="28"/>
        <v>25.018729629629632</v>
      </c>
      <c r="Y87" s="30">
        <f t="shared" si="30"/>
        <v>100.66666666666667</v>
      </c>
    </row>
    <row r="88" spans="1:25" x14ac:dyDescent="0.2">
      <c r="A88" s="2">
        <v>75</v>
      </c>
      <c r="B88" s="34">
        <f t="shared" si="31"/>
        <v>7</v>
      </c>
      <c r="C88" s="30">
        <f>IF(B88=0,"",IF('Imperial Data'!AG77&gt;=1, INDEX(Imperial_Incremental[], MATCH('Imperial Data'!AG77, Imperial_Incremental[Height], 1), MATCH('Cumulative Volumes Imperial'!$F$4, Imperial_Incremental[#Headers], 0)), 0))</f>
        <v>0</v>
      </c>
      <c r="D88" s="30">
        <f>IF(B88=0,"",IF('Imperial Data'!AG77&gt;=1, INDEX(Imperial_Incremental[], MATCH('Imperial Data'!AG77, Imperial_Incremental[Height], 1), MATCH('Cumulative Volumes Imperial'!$F$4 &amp; "EC", Imperial_Incremental[#Headers], 0)), 0))</f>
        <v>0</v>
      </c>
      <c r="E88" s="30">
        <f t="shared" si="16"/>
        <v>0</v>
      </c>
      <c r="F88" s="30">
        <f t="shared" si="17"/>
        <v>0</v>
      </c>
      <c r="G88" s="30">
        <f>IF(B88=0,"",IF('Cumulative Volumes Imperial'!$AQ$17=FALSE,I88,H88))</f>
        <v>213.33333333333331</v>
      </c>
      <c r="H88" s="30">
        <f t="shared" si="18"/>
        <v>213.33333333333331</v>
      </c>
      <c r="I88" s="30">
        <f t="shared" si="19"/>
        <v>211.00078703703707</v>
      </c>
      <c r="J88" s="30">
        <f>IF(B88="","",IF('Cumulative Volumes Imperial'!$AQ$17=FALSE,L88,K88))</f>
        <v>213.33333333333331</v>
      </c>
      <c r="K88" s="30">
        <f t="shared" si="20"/>
        <v>213.33333333333331</v>
      </c>
      <c r="L88" s="30">
        <f t="shared" si="21"/>
        <v>211.00078703703707</v>
      </c>
      <c r="M88" s="30">
        <f>IF($E$8+45+$E$9&gt;989,"FALSE",IF(B88="","",IF('Cumulative Volumes Imperial'!$AQ$17=FALSE,O88,N88)))</f>
        <v>1493.333333333333</v>
      </c>
      <c r="N88" s="30">
        <f t="shared" si="22"/>
        <v>1493.333333333333</v>
      </c>
      <c r="O88" s="30">
        <f>IF(B88=0,"",IF('Cumulative Volumes Imperial'!$AQ$17=FALSE,(V88*$E$4)+(W88*$E$5),N88))</f>
        <v>1493.333333333333</v>
      </c>
      <c r="P88" s="30">
        <f>IF(B88=0,"",(((1/12)*'Imperial Data'!$AC$4*'Imperial Data'!$AC$5)-C88)*$H$6)</f>
        <v>1.9969708333333338</v>
      </c>
      <c r="Q88" s="30">
        <f t="shared" si="23"/>
        <v>199.69708333333338</v>
      </c>
      <c r="R88" s="30">
        <f>IF(B88=0,"",(((1/12)*'Imperial Data'!$AC$5*'Imperial Data'!$AC$7)-D88)*$H$6)</f>
        <v>1.1303703703703702</v>
      </c>
      <c r="S88" s="30">
        <f t="shared" si="24"/>
        <v>11.303703703703702</v>
      </c>
      <c r="T88" s="30">
        <f t="shared" si="25"/>
        <v>0</v>
      </c>
      <c r="U88" s="30">
        <f t="shared" si="26"/>
        <v>0</v>
      </c>
      <c r="V88" s="30">
        <f t="shared" si="27"/>
        <v>13.978795833333336</v>
      </c>
      <c r="W88" s="30">
        <f t="shared" si="29"/>
        <v>7.9125925925925911</v>
      </c>
      <c r="X88" s="31">
        <f t="shared" si="28"/>
        <v>21.891388425925928</v>
      </c>
      <c r="Y88" s="30">
        <f t="shared" si="30"/>
        <v>100.58333333333333</v>
      </c>
    </row>
    <row r="89" spans="1:25" x14ac:dyDescent="0.2">
      <c r="A89" s="2">
        <v>76</v>
      </c>
      <c r="B89" s="34">
        <f t="shared" si="31"/>
        <v>6</v>
      </c>
      <c r="C89" s="30">
        <f>IF(B89=0,"",IF('Imperial Data'!AG78&gt;=1, INDEX(Imperial_Incremental[], MATCH('Imperial Data'!AG78, Imperial_Incremental[Height], 1), MATCH('Cumulative Volumes Imperial'!$F$4, Imperial_Incremental[#Headers], 0)), 0))</f>
        <v>0</v>
      </c>
      <c r="D89" s="30">
        <f>IF(B89=0,"",IF('Imperial Data'!AG78&gt;=1, INDEX(Imperial_Incremental[], MATCH('Imperial Data'!AG78, Imperial_Incremental[Height], 1), MATCH('Cumulative Volumes Imperial'!$F$4 &amp; "EC", Imperial_Incremental[#Headers], 0)), 0))</f>
        <v>0</v>
      </c>
      <c r="E89" s="30">
        <f t="shared" si="16"/>
        <v>0</v>
      </c>
      <c r="F89" s="30">
        <f t="shared" si="17"/>
        <v>0</v>
      </c>
      <c r="G89" s="30">
        <f>IF(B89=0,"",IF('Cumulative Volumes Imperial'!$AQ$17=FALSE,I89,H89))</f>
        <v>213.33333333333331</v>
      </c>
      <c r="H89" s="30">
        <f t="shared" si="18"/>
        <v>213.33333333333331</v>
      </c>
      <c r="I89" s="30">
        <f t="shared" si="19"/>
        <v>211.00078703703707</v>
      </c>
      <c r="J89" s="30">
        <f>IF(B89="","",IF('Cumulative Volumes Imperial'!$AQ$17=FALSE,L89,K89))</f>
        <v>213.33333333333331</v>
      </c>
      <c r="K89" s="30">
        <f t="shared" si="20"/>
        <v>213.33333333333331</v>
      </c>
      <c r="L89" s="30">
        <f t="shared" si="21"/>
        <v>211.00078703703707</v>
      </c>
      <c r="M89" s="30">
        <f>IF($E$8+45+$E$9&gt;989,"FALSE",IF(B89="","",IF('Cumulative Volumes Imperial'!$AQ$17=FALSE,O89,N89)))</f>
        <v>1279.9999999999998</v>
      </c>
      <c r="N89" s="30">
        <f t="shared" si="22"/>
        <v>1279.9999999999998</v>
      </c>
      <c r="O89" s="30">
        <f>IF(B89=0,"",IF('Cumulative Volumes Imperial'!$AQ$17=FALSE,(V89*$E$4)+(W89*$E$5),N89))</f>
        <v>1279.9999999999998</v>
      </c>
      <c r="P89" s="30">
        <f>IF(B89=0,"",(((1/12)*'Imperial Data'!$AC$4*'Imperial Data'!$AC$5)-C89)*$H$6)</f>
        <v>1.9969708333333338</v>
      </c>
      <c r="Q89" s="30">
        <f t="shared" si="23"/>
        <v>199.69708333333338</v>
      </c>
      <c r="R89" s="30">
        <f>IF(B89=0,"",(((1/12)*'Imperial Data'!$AC$5*'Imperial Data'!$AC$7)-D89)*$H$6)</f>
        <v>1.1303703703703702</v>
      </c>
      <c r="S89" s="30">
        <f t="shared" si="24"/>
        <v>11.303703703703702</v>
      </c>
      <c r="T89" s="30">
        <f t="shared" si="25"/>
        <v>0</v>
      </c>
      <c r="U89" s="30">
        <f t="shared" si="26"/>
        <v>0</v>
      </c>
      <c r="V89" s="30">
        <f t="shared" si="27"/>
        <v>11.981825000000002</v>
      </c>
      <c r="W89" s="30">
        <f t="shared" si="29"/>
        <v>6.782222222222221</v>
      </c>
      <c r="X89" s="31">
        <f t="shared" si="28"/>
        <v>18.764047222222224</v>
      </c>
      <c r="Y89" s="30">
        <f t="shared" si="30"/>
        <v>100.5</v>
      </c>
    </row>
    <row r="90" spans="1:25" x14ac:dyDescent="0.2">
      <c r="A90" s="2">
        <v>77</v>
      </c>
      <c r="B90" s="34">
        <f t="shared" si="31"/>
        <v>5</v>
      </c>
      <c r="C90" s="30">
        <f>IF(B90=0,"",IF('Imperial Data'!AG79&gt;=1, INDEX(Imperial_Incremental[], MATCH('Imperial Data'!AG79, Imperial_Incremental[Height], 1), MATCH('Cumulative Volumes Imperial'!$F$4, Imperial_Incremental[#Headers], 0)), 0))</f>
        <v>0</v>
      </c>
      <c r="D90" s="30">
        <f>IF(B90=0,"",IF('Imperial Data'!AG79&gt;=1, INDEX(Imperial_Incremental[], MATCH('Imperial Data'!AG79, Imperial_Incremental[Height], 1), MATCH('Cumulative Volumes Imperial'!$F$4 &amp; "EC", Imperial_Incremental[#Headers], 0)), 0))</f>
        <v>0</v>
      </c>
      <c r="E90" s="30">
        <f t="shared" si="16"/>
        <v>0</v>
      </c>
      <c r="F90" s="30">
        <f t="shared" si="17"/>
        <v>0</v>
      </c>
      <c r="G90" s="30">
        <f>IF(B90=0,"",IF('Cumulative Volumes Imperial'!$AQ$17=FALSE,I90,H90))</f>
        <v>213.33333333333331</v>
      </c>
      <c r="H90" s="30">
        <f t="shared" si="18"/>
        <v>213.33333333333331</v>
      </c>
      <c r="I90" s="30">
        <f t="shared" si="19"/>
        <v>211.00078703703707</v>
      </c>
      <c r="J90" s="30">
        <f>IF(B90="","",IF('Cumulative Volumes Imperial'!$AQ$17=FALSE,L90,K90))</f>
        <v>213.33333333333331</v>
      </c>
      <c r="K90" s="30">
        <f t="shared" si="20"/>
        <v>213.33333333333331</v>
      </c>
      <c r="L90" s="30">
        <f t="shared" si="21"/>
        <v>211.00078703703707</v>
      </c>
      <c r="M90" s="30">
        <f>IF($E$8+45+$E$9&gt;989,"FALSE",IF(B90="","",IF('Cumulative Volumes Imperial'!$AQ$17=FALSE,O90,N90)))</f>
        <v>1066.6666666666665</v>
      </c>
      <c r="N90" s="30">
        <f t="shared" si="22"/>
        <v>1066.6666666666665</v>
      </c>
      <c r="O90" s="103">
        <f>IF(B90=0,"",IF('Cumulative Volumes Imperial'!$AQ$17=FALSE,(V90*$E$4)+(W90*$E$5),N90))</f>
        <v>1066.6666666666665</v>
      </c>
      <c r="P90" s="30">
        <f>IF(B90=0,"",(((1/12)*'Imperial Data'!$AC$4*'Imperial Data'!$AC$5)-C90)*$H$6)</f>
        <v>1.9969708333333338</v>
      </c>
      <c r="Q90" s="30">
        <f t="shared" si="23"/>
        <v>199.69708333333338</v>
      </c>
      <c r="R90" s="30">
        <f>IF(B90=0,"",(((1/12)*'Imperial Data'!$AC$5*'Imperial Data'!$AC$7)-D90)*$H$6)</f>
        <v>1.1303703703703702</v>
      </c>
      <c r="S90" s="30">
        <f t="shared" si="24"/>
        <v>11.303703703703702</v>
      </c>
      <c r="T90" s="30">
        <f t="shared" si="25"/>
        <v>0</v>
      </c>
      <c r="U90" s="30">
        <f t="shared" si="26"/>
        <v>0</v>
      </c>
      <c r="V90" s="104">
        <f t="shared" si="27"/>
        <v>9.9848541666666684</v>
      </c>
      <c r="W90" s="104">
        <f t="shared" si="29"/>
        <v>5.651851851851851</v>
      </c>
      <c r="X90" s="31">
        <f t="shared" si="28"/>
        <v>15.63670601851852</v>
      </c>
      <c r="Y90" s="30">
        <f t="shared" si="30"/>
        <v>100.41666666666667</v>
      </c>
    </row>
    <row r="91" spans="1:25" x14ac:dyDescent="0.2">
      <c r="A91" s="2">
        <v>78</v>
      </c>
      <c r="B91" s="34">
        <f t="shared" si="31"/>
        <v>4</v>
      </c>
      <c r="C91" s="30">
        <f>IF(B91=0,"",IF('Imperial Data'!AG80&gt;=1, INDEX(Imperial_Incremental[], MATCH('Imperial Data'!AG80, Imperial_Incremental[Height], 1), MATCH('Cumulative Volumes Imperial'!$F$4, Imperial_Incremental[#Headers], 0)), 0))</f>
        <v>0</v>
      </c>
      <c r="D91" s="30">
        <f>IF(B91=0,"",IF('Imperial Data'!AG80&gt;=1, INDEX(Imperial_Incremental[], MATCH('Imperial Data'!AG80, Imperial_Incremental[Height], 1), MATCH('Cumulative Volumes Imperial'!$F$4 &amp; "EC", Imperial_Incremental[#Headers], 0)), 0))</f>
        <v>0</v>
      </c>
      <c r="E91" s="30">
        <f t="shared" si="16"/>
        <v>0</v>
      </c>
      <c r="F91" s="30">
        <f t="shared" si="17"/>
        <v>0</v>
      </c>
      <c r="G91" s="30">
        <f>IF(B91=0,"",IF('Cumulative Volumes Imperial'!$AQ$17=FALSE,I91,H91))</f>
        <v>213.33333333333331</v>
      </c>
      <c r="H91" s="30">
        <f t="shared" si="18"/>
        <v>213.33333333333331</v>
      </c>
      <c r="I91" s="30">
        <f t="shared" si="19"/>
        <v>211.00078703703707</v>
      </c>
      <c r="J91" s="30">
        <f>IF(B91="","",IF('Cumulative Volumes Imperial'!$AQ$17=FALSE,L91,K91))</f>
        <v>213.33333333333331</v>
      </c>
      <c r="K91" s="30">
        <f t="shared" si="20"/>
        <v>213.33333333333331</v>
      </c>
      <c r="L91" s="30">
        <f t="shared" si="21"/>
        <v>211.00078703703707</v>
      </c>
      <c r="M91" s="30">
        <f>IF($E$8+45+$E$9&gt;989,"FALSE",IF(B91="","",IF('Cumulative Volumes Imperial'!$AQ$17=FALSE,O91,N91)))</f>
        <v>853.33333333333326</v>
      </c>
      <c r="N91" s="30">
        <f t="shared" si="22"/>
        <v>853.33333333333326</v>
      </c>
      <c r="O91" s="103">
        <f>IF(B91=0,"",IF('Cumulative Volumes Imperial'!$AQ$17=FALSE,(V91*$E$4)+(W91*$E$5),N91))</f>
        <v>853.33333333333326</v>
      </c>
      <c r="P91" s="30">
        <f>IF(B91=0,"",(((1/12)*'Imperial Data'!$AC$4*'Imperial Data'!$AC$5)-C91)*$H$6)</f>
        <v>1.9969708333333338</v>
      </c>
      <c r="Q91" s="30">
        <f t="shared" si="23"/>
        <v>199.69708333333338</v>
      </c>
      <c r="R91" s="30">
        <f>IF(B91=0,"",(((1/12)*'Imperial Data'!$AC$5*'Imperial Data'!$AC$7)-D91)*$H$6)</f>
        <v>1.1303703703703702</v>
      </c>
      <c r="S91" s="30">
        <f t="shared" si="24"/>
        <v>11.303703703703702</v>
      </c>
      <c r="T91" s="30">
        <f t="shared" si="25"/>
        <v>0</v>
      </c>
      <c r="U91" s="30">
        <f t="shared" si="26"/>
        <v>0</v>
      </c>
      <c r="V91" s="104">
        <f t="shared" si="27"/>
        <v>7.9878833333333352</v>
      </c>
      <c r="W91" s="104">
        <f t="shared" si="29"/>
        <v>4.521481481481481</v>
      </c>
      <c r="X91" s="31">
        <f t="shared" si="28"/>
        <v>12.509364814814816</v>
      </c>
      <c r="Y91" s="30">
        <f t="shared" si="30"/>
        <v>100.33333333333333</v>
      </c>
    </row>
    <row r="92" spans="1:25" x14ac:dyDescent="0.2">
      <c r="A92" s="2">
        <v>79</v>
      </c>
      <c r="B92" s="34">
        <f t="shared" si="31"/>
        <v>3</v>
      </c>
      <c r="C92" s="30">
        <f>IF(B92=0,"",IF('Imperial Data'!AG81&gt;=1, INDEX(Imperial_Incremental[], MATCH('Imperial Data'!AG81, Imperial_Incremental[Height], 1), MATCH('Cumulative Volumes Imperial'!$F$4, Imperial_Incremental[#Headers], 0)), 0))</f>
        <v>0</v>
      </c>
      <c r="D92" s="30">
        <f>IF(B92=0,"",IF('Imperial Data'!AG81&gt;=1, INDEX(Imperial_Incremental[], MATCH('Imperial Data'!AG81, Imperial_Incremental[Height], 1), MATCH('Cumulative Volumes Imperial'!$F$4 &amp; "EC", Imperial_Incremental[#Headers], 0)), 0))</f>
        <v>0</v>
      </c>
      <c r="E92" s="30">
        <f t="shared" si="16"/>
        <v>0</v>
      </c>
      <c r="F92" s="30">
        <f t="shared" si="17"/>
        <v>0</v>
      </c>
      <c r="G92" s="30">
        <f>IF(B92=0,"",IF('Cumulative Volumes Imperial'!$AQ$17=FALSE,I92,H92))</f>
        <v>213.33333333333331</v>
      </c>
      <c r="H92" s="30">
        <f t="shared" si="18"/>
        <v>213.33333333333331</v>
      </c>
      <c r="I92" s="30">
        <f t="shared" si="19"/>
        <v>211.00078703703707</v>
      </c>
      <c r="J92" s="30">
        <f>IF(B92="","",IF('Cumulative Volumes Imperial'!$AQ$17=FALSE,L92,K92))</f>
        <v>213.33333333333331</v>
      </c>
      <c r="K92" s="30">
        <f t="shared" si="20"/>
        <v>213.33333333333331</v>
      </c>
      <c r="L92" s="30">
        <f t="shared" si="21"/>
        <v>211.00078703703707</v>
      </c>
      <c r="M92" s="30">
        <f>IF($E$8+45+$E$9&gt;989,"FALSE",IF(B92="","",IF('Cumulative Volumes Imperial'!$AQ$17=FALSE,O92,N92)))</f>
        <v>640</v>
      </c>
      <c r="N92" s="30">
        <f t="shared" si="22"/>
        <v>640</v>
      </c>
      <c r="O92" s="103">
        <f>IF(B92=0,"",IF('Cumulative Volumes Imperial'!$AQ$17=FALSE,(V92*$E$4)+(W92*$E$5),N92))</f>
        <v>640</v>
      </c>
      <c r="P92" s="30">
        <f>IF(B92=0,"",(((1/12)*'Imperial Data'!$AC$4*'Imperial Data'!$AC$5)-C92)*$H$6)</f>
        <v>1.9969708333333338</v>
      </c>
      <c r="Q92" s="30">
        <f t="shared" si="23"/>
        <v>199.69708333333338</v>
      </c>
      <c r="R92" s="30">
        <f>IF(B92=0,"",(((1/12)*'Imperial Data'!$AC$5*'Imperial Data'!$AC$7)-D92)*$H$6)</f>
        <v>1.1303703703703702</v>
      </c>
      <c r="S92" s="30">
        <f t="shared" si="24"/>
        <v>11.303703703703702</v>
      </c>
      <c r="T92" s="30">
        <f t="shared" si="25"/>
        <v>0</v>
      </c>
      <c r="U92" s="30">
        <f t="shared" si="26"/>
        <v>0</v>
      </c>
      <c r="V92" s="104">
        <f t="shared" si="27"/>
        <v>5.9909125000000012</v>
      </c>
      <c r="W92" s="104">
        <f t="shared" si="29"/>
        <v>3.391111111111111</v>
      </c>
      <c r="X92" s="31">
        <f t="shared" si="28"/>
        <v>9.3820236111111122</v>
      </c>
      <c r="Y92" s="30">
        <f t="shared" si="30"/>
        <v>100.25</v>
      </c>
    </row>
    <row r="93" spans="1:25" x14ac:dyDescent="0.2">
      <c r="A93" s="2">
        <v>80</v>
      </c>
      <c r="B93" s="34">
        <f t="shared" si="31"/>
        <v>2</v>
      </c>
      <c r="C93" s="30">
        <f>IF(B93=0,"",IF('Imperial Data'!AG82&gt;=1, INDEX(Imperial_Incremental[], MATCH('Imperial Data'!AG82, Imperial_Incremental[Height], 1), MATCH('Cumulative Volumes Imperial'!$F$4, Imperial_Incremental[#Headers], 0)), 0))</f>
        <v>0</v>
      </c>
      <c r="D93" s="30">
        <f>IF(B93=0,"",IF('Imperial Data'!AG82&gt;=1, INDEX(Imperial_Incremental[], MATCH('Imperial Data'!AG82, Imperial_Incremental[Height], 1), MATCH('Cumulative Volumes Imperial'!$F$4 &amp; "EC", Imperial_Incremental[#Headers], 0)), 0))</f>
        <v>0</v>
      </c>
      <c r="E93" s="30">
        <f t="shared" si="16"/>
        <v>0</v>
      </c>
      <c r="F93" s="30">
        <f t="shared" si="17"/>
        <v>0</v>
      </c>
      <c r="G93" s="30">
        <f>IF(B93=0,"",IF('Cumulative Volumes Imperial'!$AQ$17=FALSE,I93,H93))</f>
        <v>213.33333333333331</v>
      </c>
      <c r="H93" s="30">
        <f t="shared" si="18"/>
        <v>213.33333333333331</v>
      </c>
      <c r="I93" s="30">
        <f t="shared" si="19"/>
        <v>211.00078703703707</v>
      </c>
      <c r="J93" s="30">
        <f>IF(B93="","",IF('Cumulative Volumes Imperial'!$AQ$17=FALSE,L93,K93))</f>
        <v>213.33333333333331</v>
      </c>
      <c r="K93" s="30">
        <f t="shared" si="20"/>
        <v>213.33333333333331</v>
      </c>
      <c r="L93" s="30">
        <f t="shared" si="21"/>
        <v>211.00078703703707</v>
      </c>
      <c r="M93" s="30">
        <f>IF($E$8+45+$E$9&gt;989,"FALSE",IF(B93="","",IF('Cumulative Volumes Imperial'!$AQ$17=FALSE,O93,N93)))</f>
        <v>426.66666666666663</v>
      </c>
      <c r="N93" s="30">
        <f t="shared" si="22"/>
        <v>426.66666666666663</v>
      </c>
      <c r="O93" s="103">
        <f>IF(B93=0,"",IF('Cumulative Volumes Imperial'!$AQ$17=FALSE,(V93*$E$4)+(W93*$E$5),N93))</f>
        <v>426.66666666666663</v>
      </c>
      <c r="P93" s="30">
        <f>IF(B93=0,"",(((1/12)*'Imperial Data'!$AC$4*'Imperial Data'!$AC$5)-C93)*$H$6)</f>
        <v>1.9969708333333338</v>
      </c>
      <c r="Q93" s="30">
        <f t="shared" si="23"/>
        <v>199.69708333333338</v>
      </c>
      <c r="R93" s="30">
        <f>IF(B93=0,"",(((1/12)*'Imperial Data'!$AC$5*'Imperial Data'!$AC$7)-D93)*$H$6)</f>
        <v>1.1303703703703702</v>
      </c>
      <c r="S93" s="30">
        <f t="shared" si="24"/>
        <v>11.303703703703702</v>
      </c>
      <c r="T93" s="30">
        <f t="shared" si="25"/>
        <v>0</v>
      </c>
      <c r="U93" s="30">
        <f t="shared" si="26"/>
        <v>0</v>
      </c>
      <c r="V93" s="104">
        <f t="shared" si="27"/>
        <v>3.9939416666666676</v>
      </c>
      <c r="W93" s="104">
        <f t="shared" si="29"/>
        <v>2.2607407407407405</v>
      </c>
      <c r="X93" s="31">
        <f t="shared" si="28"/>
        <v>6.2546824074074081</v>
      </c>
      <c r="Y93" s="30">
        <f t="shared" si="30"/>
        <v>100.16666666666667</v>
      </c>
    </row>
    <row r="94" spans="1:25" x14ac:dyDescent="0.2">
      <c r="A94" s="2">
        <v>81</v>
      </c>
      <c r="B94" s="34">
        <f t="shared" si="31"/>
        <v>1</v>
      </c>
      <c r="C94" s="30">
        <f>IF(B94=0,"",IF('Imperial Data'!AG83&gt;=1, INDEX(Imperial_Incremental[], MATCH('Imperial Data'!AG83, Imperial_Incremental[Height], 1), MATCH('Cumulative Volumes Imperial'!$F$4, Imperial_Incremental[#Headers], 0)), 0))</f>
        <v>0</v>
      </c>
      <c r="D94" s="30">
        <f>IF(B94=0,"",IF('Imperial Data'!AG83&gt;=1, INDEX(Imperial_Incremental[], MATCH('Imperial Data'!AG83, Imperial_Incremental[Height], 1), MATCH('Cumulative Volumes Imperial'!$F$4 &amp; "EC", Imperial_Incremental[#Headers], 0)), 0))</f>
        <v>0</v>
      </c>
      <c r="E94" s="30">
        <f t="shared" si="16"/>
        <v>0</v>
      </c>
      <c r="F94" s="30">
        <f t="shared" si="17"/>
        <v>0</v>
      </c>
      <c r="G94" s="30">
        <f>IF(B94=0,"",IF('Cumulative Volumes Imperial'!$AQ$17=FALSE,I94,H94))</f>
        <v>213.33333333333331</v>
      </c>
      <c r="H94" s="30">
        <f t="shared" si="18"/>
        <v>213.33333333333331</v>
      </c>
      <c r="I94" s="30">
        <f t="shared" si="19"/>
        <v>211.00078703703707</v>
      </c>
      <c r="J94" s="30">
        <f>IF(B94="","",IF('Cumulative Volumes Imperial'!$AQ$17=FALSE,L94,K94))</f>
        <v>213.33333333333331</v>
      </c>
      <c r="K94" s="30">
        <f t="shared" si="20"/>
        <v>213.33333333333331</v>
      </c>
      <c r="L94" s="30">
        <f t="shared" si="21"/>
        <v>211.00078703703707</v>
      </c>
      <c r="M94" s="30">
        <f>IF($E$8+45+$E$9&gt;989,"FALSE",IF(B94="","",IF('Cumulative Volumes Imperial'!$AQ$17=FALSE,O94,N94)))</f>
        <v>213.33333333333331</v>
      </c>
      <c r="N94" s="30">
        <f t="shared" si="22"/>
        <v>213.33333333333331</v>
      </c>
      <c r="O94" s="103">
        <f>IF(B94=0,"",IF('Cumulative Volumes Imperial'!$AQ$17=FALSE,(V94*$E$4)+(W94*$E$5),N94))</f>
        <v>213.33333333333331</v>
      </c>
      <c r="P94" s="30">
        <f>IF(B94=0,"",(((1/12)*'Imperial Data'!$AC$4*'Imperial Data'!$AC$5)-C94)*$H$6)</f>
        <v>1.9969708333333338</v>
      </c>
      <c r="Q94" s="30">
        <f t="shared" si="23"/>
        <v>199.69708333333338</v>
      </c>
      <c r="R94" s="30">
        <f>IF(B94=0,"",(((1/12)*'Imperial Data'!$AC$5*'Imperial Data'!$AC$7)-D94)*$H$6)</f>
        <v>1.1303703703703702</v>
      </c>
      <c r="S94" s="30">
        <f t="shared" si="24"/>
        <v>11.303703703703702</v>
      </c>
      <c r="T94" s="30">
        <f t="shared" si="25"/>
        <v>0</v>
      </c>
      <c r="U94" s="30">
        <f t="shared" si="26"/>
        <v>0</v>
      </c>
      <c r="V94" s="104">
        <f t="shared" si="27"/>
        <v>1.9969708333333338</v>
      </c>
      <c r="W94" s="104">
        <f t="shared" si="29"/>
        <v>1.1303703703703702</v>
      </c>
      <c r="X94" s="31">
        <f t="shared" si="28"/>
        <v>3.1273412037037041</v>
      </c>
      <c r="Y94" s="30">
        <f t="shared" si="30"/>
        <v>100.08333333333333</v>
      </c>
    </row>
    <row r="95" spans="1:25" x14ac:dyDescent="0.2">
      <c r="A95" s="2">
        <v>82</v>
      </c>
      <c r="B95" s="34">
        <f t="shared" si="31"/>
        <v>0</v>
      </c>
      <c r="C95" s="30" t="str">
        <f>IF(B95=0,"",IF('Imperial Data'!AG84&gt;=1, INDEX(Imperial_Incremental[], MATCH('Imperial Data'!AG84, Imperial_Incremental[Height], 1), MATCH('Cumulative Volumes Imperial'!$F$4, Imperial_Incremental[#Headers], 0)), 0))</f>
        <v/>
      </c>
      <c r="D95" s="30" t="str">
        <f>IF(B95=0,"",IF('Imperial Data'!AG84&gt;=1, INDEX(Imperial_Incremental[], MATCH('Imperial Data'!AG84, Imperial_Incremental[Height], 1), MATCH('Cumulative Volumes Imperial'!$F$4 &amp; "EC", Imperial_Incremental[#Headers], 0)), 0))</f>
        <v/>
      </c>
      <c r="E95" s="30" t="str">
        <f t="shared" si="16"/>
        <v/>
      </c>
      <c r="F95" s="30" t="str">
        <f t="shared" si="17"/>
        <v/>
      </c>
      <c r="G95" s="30" t="str">
        <f>IF(B95=0,"",IF('Cumulative Volumes Imperial'!$AQ$17=FALSE,I95,H95))</f>
        <v/>
      </c>
      <c r="H95" s="30" t="str">
        <f t="shared" si="18"/>
        <v/>
      </c>
      <c r="I95" s="30" t="str">
        <f t="shared" si="19"/>
        <v/>
      </c>
      <c r="J95" s="30" t="str">
        <f>IF(B95="","",IF('Cumulative Volumes Imperial'!$AQ$17=FALSE,L95,K95))</f>
        <v/>
      </c>
      <c r="K95" s="30" t="str">
        <f t="shared" si="20"/>
        <v/>
      </c>
      <c r="L95" s="30" t="str">
        <f t="shared" si="21"/>
        <v/>
      </c>
      <c r="M95" s="30" t="str">
        <f>IF($E$8+45+$E$9&gt;989,"FALSE",IF(B95="","",IF('Cumulative Volumes Imperial'!$AQ$17=FALSE,O95,N95)))</f>
        <v/>
      </c>
      <c r="N95" s="30" t="str">
        <f t="shared" si="22"/>
        <v/>
      </c>
      <c r="O95" s="30" t="str">
        <f>IF(B95=0,"",IF('Cumulative Volumes Imperial'!$AQ$17=FALSE,(V95*$E$4)+(W95*$E$5),N95))</f>
        <v/>
      </c>
      <c r="P95" s="30" t="str">
        <f>IF(B95=0,"",(((1/12)*'Imperial Data'!$AC$4*'Imperial Data'!$AC$5)-C95)*$H$6)</f>
        <v/>
      </c>
      <c r="Q95" s="30" t="str">
        <f t="shared" si="23"/>
        <v/>
      </c>
      <c r="R95" s="30" t="str">
        <f>IF(B95=0,"",(((1/12)*'Imperial Data'!$AC$5*'Imperial Data'!$AC$7)-D95)*$H$6)</f>
        <v/>
      </c>
      <c r="S95" s="30" t="str">
        <f t="shared" si="24"/>
        <v/>
      </c>
      <c r="T95" s="30" t="str">
        <f t="shared" si="25"/>
        <v/>
      </c>
      <c r="U95" s="30" t="str">
        <f t="shared" si="26"/>
        <v/>
      </c>
      <c r="V95" s="30" t="str">
        <f t="shared" si="27"/>
        <v/>
      </c>
      <c r="W95" s="30" t="str">
        <f t="shared" si="29"/>
        <v/>
      </c>
      <c r="X95" s="31" t="str">
        <f t="shared" si="28"/>
        <v/>
      </c>
      <c r="Y95" s="30" t="str">
        <f t="shared" si="30"/>
        <v/>
      </c>
    </row>
    <row r="96" spans="1:25" x14ac:dyDescent="0.2">
      <c r="A96" s="2">
        <v>83</v>
      </c>
      <c r="B96" s="34">
        <f t="shared" si="31"/>
        <v>0</v>
      </c>
      <c r="C96" s="30" t="str">
        <f>IF(B96=0,"",IF('Imperial Data'!AG85&gt;=1, INDEX(Imperial_Incremental[], MATCH('Imperial Data'!AG85, Imperial_Incremental[Height], 1), MATCH('Cumulative Volumes Imperial'!$F$4, Imperial_Incremental[#Headers], 0)), 0))</f>
        <v/>
      </c>
      <c r="D96" s="30" t="str">
        <f>IF(B96=0,"",IF('Imperial Data'!AG85&gt;=1, INDEX(Imperial_Incremental[], MATCH('Imperial Data'!AG85, Imperial_Incremental[Height], 1), MATCH('Cumulative Volumes Imperial'!$F$4 &amp; "EC", Imperial_Incremental[#Headers], 0)), 0))</f>
        <v/>
      </c>
      <c r="E96" s="30" t="str">
        <f t="shared" si="16"/>
        <v/>
      </c>
      <c r="F96" s="30" t="str">
        <f t="shared" si="17"/>
        <v/>
      </c>
      <c r="G96" s="30" t="str">
        <f>IF(B96=0,"",IF('Cumulative Volumes Imperial'!$AQ$17=FALSE,I96,H96))</f>
        <v/>
      </c>
      <c r="H96" s="30" t="str">
        <f t="shared" si="18"/>
        <v/>
      </c>
      <c r="I96" s="30" t="str">
        <f t="shared" si="19"/>
        <v/>
      </c>
      <c r="J96" s="30" t="str">
        <f>IF(B96="","",IF('Cumulative Volumes Imperial'!$AQ$17=FALSE,L96,K96))</f>
        <v/>
      </c>
      <c r="K96" s="30" t="str">
        <f t="shared" si="20"/>
        <v/>
      </c>
      <c r="L96" s="30" t="str">
        <f t="shared" si="21"/>
        <v/>
      </c>
      <c r="M96" s="30" t="str">
        <f>IF($E$8+45+$E$9&gt;989,"FALSE",IF(B96="","",IF('Cumulative Volumes Imperial'!$AQ$17=FALSE,O96,N96)))</f>
        <v/>
      </c>
      <c r="N96" s="30" t="str">
        <f t="shared" si="22"/>
        <v/>
      </c>
      <c r="O96" s="30" t="str">
        <f>IF(B96=0,"",IF('Cumulative Volumes Imperial'!$AQ$17=FALSE,(V96*$E$4)+(W96*$E$5),N96))</f>
        <v/>
      </c>
      <c r="P96" s="30" t="str">
        <f>IF(B96=0,"",(((1/12)*'Imperial Data'!$AC$4*'Imperial Data'!$AC$5)-C96)*$H$6)</f>
        <v/>
      </c>
      <c r="Q96" s="30" t="str">
        <f t="shared" si="23"/>
        <v/>
      </c>
      <c r="R96" s="30" t="str">
        <f>IF(B96=0,"",(((1/12)*'Imperial Data'!$AC$5*'Imperial Data'!$AC$7)-D96)*$H$6)</f>
        <v/>
      </c>
      <c r="S96" s="30" t="str">
        <f t="shared" si="24"/>
        <v/>
      </c>
      <c r="T96" s="30" t="str">
        <f t="shared" si="25"/>
        <v/>
      </c>
      <c r="U96" s="30" t="str">
        <f t="shared" si="26"/>
        <v/>
      </c>
      <c r="V96" s="30" t="str">
        <f t="shared" si="27"/>
        <v/>
      </c>
      <c r="W96" s="30" t="str">
        <f t="shared" si="29"/>
        <v/>
      </c>
      <c r="X96" s="31" t="str">
        <f t="shared" si="28"/>
        <v/>
      </c>
      <c r="Y96" s="30" t="str">
        <f t="shared" si="30"/>
        <v/>
      </c>
    </row>
    <row r="97" spans="1:25" x14ac:dyDescent="0.2">
      <c r="A97" s="2">
        <v>84</v>
      </c>
      <c r="B97" s="34">
        <f t="shared" si="31"/>
        <v>0</v>
      </c>
      <c r="C97" s="30" t="str">
        <f>IF(B97=0,"",IF('Imperial Data'!AG86&gt;=1, INDEX(Imperial_Incremental[], MATCH('Imperial Data'!AG86, Imperial_Incremental[Height], 1), MATCH('Cumulative Volumes Imperial'!$F$4, Imperial_Incremental[#Headers], 0)), 0))</f>
        <v/>
      </c>
      <c r="D97" s="30" t="str">
        <f>IF(B97=0,"",IF('Imperial Data'!AG86&gt;=1, INDEX(Imperial_Incremental[], MATCH('Imperial Data'!AG86, Imperial_Incremental[Height], 1), MATCH('Cumulative Volumes Imperial'!$F$4 &amp; "EC", Imperial_Incremental[#Headers], 0)), 0))</f>
        <v/>
      </c>
      <c r="E97" s="30" t="str">
        <f t="shared" si="16"/>
        <v/>
      </c>
      <c r="F97" s="30" t="str">
        <f t="shared" si="17"/>
        <v/>
      </c>
      <c r="G97" s="30" t="str">
        <f>IF(B97=0,"",IF('Cumulative Volumes Imperial'!$AQ$17=FALSE,I97,H97))</f>
        <v/>
      </c>
      <c r="H97" s="30" t="str">
        <f t="shared" si="18"/>
        <v/>
      </c>
      <c r="I97" s="30" t="str">
        <f t="shared" si="19"/>
        <v/>
      </c>
      <c r="J97" s="30" t="str">
        <f>IF(B97="","",IF('Cumulative Volumes Imperial'!$AQ$17=FALSE,L97,K97))</f>
        <v/>
      </c>
      <c r="K97" s="30" t="str">
        <f t="shared" si="20"/>
        <v/>
      </c>
      <c r="L97" s="30" t="str">
        <f t="shared" si="21"/>
        <v/>
      </c>
      <c r="M97" s="30" t="str">
        <f>IF($E$8+45+$E$9&gt;989,"FALSE",IF(B97="","",IF('Cumulative Volumes Imperial'!$AQ$17=FALSE,O97,N97)))</f>
        <v/>
      </c>
      <c r="N97" s="30" t="str">
        <f t="shared" si="22"/>
        <v/>
      </c>
      <c r="O97" s="30" t="str">
        <f>IF(B97=0,"",IF('Cumulative Volumes Imperial'!$AQ$17=FALSE,(V97*$E$4)+(W97*$E$5),N97))</f>
        <v/>
      </c>
      <c r="P97" s="30" t="str">
        <f>IF(B97=0,"",(((1/12)*'Imperial Data'!$AC$4*'Imperial Data'!$AC$5)-C97)*$H$6)</f>
        <v/>
      </c>
      <c r="Q97" s="30" t="str">
        <f t="shared" si="23"/>
        <v/>
      </c>
      <c r="R97" s="30" t="str">
        <f>IF(B97=0,"",(((1/12)*'Imperial Data'!$AC$5*'Imperial Data'!$AC$7)-D97)*$H$6)</f>
        <v/>
      </c>
      <c r="S97" s="30" t="str">
        <f t="shared" si="24"/>
        <v/>
      </c>
      <c r="T97" s="30" t="str">
        <f t="shared" si="25"/>
        <v/>
      </c>
      <c r="U97" s="30" t="str">
        <f t="shared" si="26"/>
        <v/>
      </c>
      <c r="V97" s="30" t="str">
        <f t="shared" si="27"/>
        <v/>
      </c>
      <c r="W97" s="30" t="str">
        <f t="shared" si="29"/>
        <v/>
      </c>
      <c r="X97" s="31" t="str">
        <f t="shared" si="28"/>
        <v/>
      </c>
      <c r="Y97" s="30" t="str">
        <f t="shared" si="30"/>
        <v/>
      </c>
    </row>
    <row r="98" spans="1:25" x14ac:dyDescent="0.2">
      <c r="A98" s="2">
        <v>85</v>
      </c>
      <c r="B98" s="34">
        <f t="shared" si="31"/>
        <v>0</v>
      </c>
      <c r="C98" s="30" t="str">
        <f>IF(B98=0,"",IF('Imperial Data'!AG87&gt;=1, INDEX(Imperial_Incremental[], MATCH('Imperial Data'!AG87, Imperial_Incremental[Height], 1), MATCH('Cumulative Volumes Imperial'!$F$4, Imperial_Incremental[#Headers], 0)), 0))</f>
        <v/>
      </c>
      <c r="D98" s="30" t="str">
        <f>IF(B98=0,"",IF('Imperial Data'!AG87&gt;=1, INDEX(Imperial_Incremental[], MATCH('Imperial Data'!AG87, Imperial_Incremental[Height], 1), MATCH('Cumulative Volumes Imperial'!$F$4 &amp; "EC", Imperial_Incremental[#Headers], 0)), 0))</f>
        <v/>
      </c>
      <c r="E98" s="30" t="str">
        <f t="shared" si="16"/>
        <v/>
      </c>
      <c r="F98" s="30" t="str">
        <f t="shared" si="17"/>
        <v/>
      </c>
      <c r="G98" s="30" t="str">
        <f>IF(B98=0,"",IF('Cumulative Volumes Imperial'!$AQ$17=FALSE,I98,H98))</f>
        <v/>
      </c>
      <c r="H98" s="30" t="str">
        <f t="shared" si="18"/>
        <v/>
      </c>
      <c r="I98" s="30" t="str">
        <f t="shared" si="19"/>
        <v/>
      </c>
      <c r="J98" s="30" t="str">
        <f>IF(B98="","",IF('Cumulative Volumes Imperial'!$AQ$17=FALSE,L98,K98))</f>
        <v/>
      </c>
      <c r="K98" s="30" t="str">
        <f t="shared" si="20"/>
        <v/>
      </c>
      <c r="L98" s="30" t="str">
        <f t="shared" si="21"/>
        <v/>
      </c>
      <c r="M98" s="30" t="str">
        <f>IF($E$8+45+$E$9&gt;989,"FALSE",IF(B98="","",IF('Cumulative Volumes Imperial'!$AQ$17=FALSE,O98,N98)))</f>
        <v/>
      </c>
      <c r="N98" s="30" t="str">
        <f t="shared" si="22"/>
        <v/>
      </c>
      <c r="O98" s="30" t="str">
        <f>IF(B98=0,"",IF('Cumulative Volumes Imperial'!$AQ$17=FALSE,(V98*$E$4)+(W98*$E$5),N98))</f>
        <v/>
      </c>
      <c r="P98" s="30" t="str">
        <f>IF(B98=0,"",(((1/12)*'Imperial Data'!$AC$4*'Imperial Data'!$AC$5)-C98)*$H$6)</f>
        <v/>
      </c>
      <c r="Q98" s="30" t="str">
        <f t="shared" si="23"/>
        <v/>
      </c>
      <c r="R98" s="30" t="str">
        <f>IF(B98=0,"",(((1/12)*'Imperial Data'!$AC$5*'Imperial Data'!$AC$7)-D98)*$H$6)</f>
        <v/>
      </c>
      <c r="S98" s="30" t="str">
        <f t="shared" si="24"/>
        <v/>
      </c>
      <c r="T98" s="30" t="str">
        <f t="shared" si="25"/>
        <v/>
      </c>
      <c r="U98" s="30" t="str">
        <f t="shared" si="26"/>
        <v/>
      </c>
      <c r="V98" s="30" t="str">
        <f t="shared" si="27"/>
        <v/>
      </c>
      <c r="W98" s="30" t="str">
        <f t="shared" si="29"/>
        <v/>
      </c>
      <c r="X98" s="31" t="str">
        <f t="shared" si="28"/>
        <v/>
      </c>
      <c r="Y98" s="30" t="str">
        <f t="shared" si="30"/>
        <v/>
      </c>
    </row>
    <row r="99" spans="1:25" x14ac:dyDescent="0.2">
      <c r="A99" s="2">
        <v>86</v>
      </c>
      <c r="B99" s="34">
        <f t="shared" si="31"/>
        <v>0</v>
      </c>
      <c r="C99" s="30" t="str">
        <f>IF(B99=0,"",IF('Imperial Data'!AG88&gt;=1, INDEX(Imperial_Incremental[], MATCH('Imperial Data'!AG88, Imperial_Incremental[Height], 1), MATCH('Cumulative Volumes Imperial'!$F$4, Imperial_Incremental[#Headers], 0)), 0))</f>
        <v/>
      </c>
      <c r="D99" s="30" t="str">
        <f>IF(B99=0,"",IF('Imperial Data'!AG88&gt;=1, INDEX(Imperial_Incremental[], MATCH('Imperial Data'!AG88, Imperial_Incremental[Height], 1), MATCH('Cumulative Volumes Imperial'!$F$4 &amp; "EC", Imperial_Incremental[#Headers], 0)), 0))</f>
        <v/>
      </c>
      <c r="E99" s="30" t="str">
        <f t="shared" si="16"/>
        <v/>
      </c>
      <c r="F99" s="30" t="str">
        <f t="shared" si="17"/>
        <v/>
      </c>
      <c r="G99" s="30" t="str">
        <f>IF(B99=0,"",IF('Cumulative Volumes Imperial'!$AQ$17=FALSE,I99,H99))</f>
        <v/>
      </c>
      <c r="H99" s="30" t="str">
        <f t="shared" si="18"/>
        <v/>
      </c>
      <c r="I99" s="30" t="str">
        <f t="shared" si="19"/>
        <v/>
      </c>
      <c r="J99" s="30" t="str">
        <f>IF(B99="","",IF('Cumulative Volumes Imperial'!$AQ$17=FALSE,L99,K99))</f>
        <v/>
      </c>
      <c r="K99" s="30" t="str">
        <f t="shared" si="20"/>
        <v/>
      </c>
      <c r="L99" s="30" t="str">
        <f t="shared" si="21"/>
        <v/>
      </c>
      <c r="M99" s="30" t="str">
        <f>IF($E$8+45+$E$9&gt;989,"FALSE",IF(B99="","",IF('Cumulative Volumes Imperial'!$AQ$17=FALSE,O99,N99)))</f>
        <v/>
      </c>
      <c r="N99" s="30" t="str">
        <f t="shared" si="22"/>
        <v/>
      </c>
      <c r="O99" s="30" t="str">
        <f>IF(B99=0,"",IF('Cumulative Volumes Imperial'!$AQ$17=FALSE,(V99*$E$4)+(W99*$E$5),N99))</f>
        <v/>
      </c>
      <c r="P99" s="30" t="str">
        <f>IF(B99=0,"",(((1/12)*'Imperial Data'!$AC$4*'Imperial Data'!$AC$5)-C99)*$H$6)</f>
        <v/>
      </c>
      <c r="Q99" s="30" t="str">
        <f t="shared" si="23"/>
        <v/>
      </c>
      <c r="R99" s="30" t="str">
        <f>IF(B99=0,"",(((1/12)*'Imperial Data'!$AC$5*'Imperial Data'!$AC$7)-D99)*$H$6)</f>
        <v/>
      </c>
      <c r="S99" s="30" t="str">
        <f t="shared" si="24"/>
        <v/>
      </c>
      <c r="T99" s="30" t="str">
        <f t="shared" si="25"/>
        <v/>
      </c>
      <c r="U99" s="30" t="str">
        <f t="shared" si="26"/>
        <v/>
      </c>
      <c r="V99" s="30" t="str">
        <f t="shared" si="27"/>
        <v/>
      </c>
      <c r="W99" s="30" t="str">
        <f t="shared" si="29"/>
        <v/>
      </c>
      <c r="X99" s="31" t="str">
        <f t="shared" si="28"/>
        <v/>
      </c>
      <c r="Y99" s="30" t="str">
        <f t="shared" si="30"/>
        <v/>
      </c>
    </row>
    <row r="100" spans="1:25" x14ac:dyDescent="0.2">
      <c r="A100" s="2">
        <v>87</v>
      </c>
      <c r="B100" s="34">
        <f t="shared" si="31"/>
        <v>0</v>
      </c>
      <c r="C100" s="30" t="str">
        <f>IF(B100=0,"",IF('Imperial Data'!AG89&gt;=1, INDEX(Imperial_Incremental[], MATCH('Imperial Data'!AG89, Imperial_Incremental[Height], 1), MATCH('Cumulative Volumes Imperial'!$F$4, Imperial_Incremental[#Headers], 0)), 0))</f>
        <v/>
      </c>
      <c r="D100" s="30" t="str">
        <f>IF(B100=0,"",IF('Imperial Data'!AG89&gt;=1, INDEX(Imperial_Incremental[], MATCH('Imperial Data'!AG89, Imperial_Incremental[Height], 1), MATCH('Cumulative Volumes Imperial'!$F$4 &amp; "EC", Imperial_Incremental[#Headers], 0)), 0))</f>
        <v/>
      </c>
      <c r="E100" s="30" t="str">
        <f t="shared" si="16"/>
        <v/>
      </c>
      <c r="F100" s="30" t="str">
        <f t="shared" si="17"/>
        <v/>
      </c>
      <c r="G100" s="30" t="str">
        <f>IF(B100=0,"",IF('Cumulative Volumes Imperial'!$AQ$17=FALSE,I100,H100))</f>
        <v/>
      </c>
      <c r="H100" s="30" t="str">
        <f t="shared" si="18"/>
        <v/>
      </c>
      <c r="I100" s="30" t="str">
        <f t="shared" si="19"/>
        <v/>
      </c>
      <c r="J100" s="30" t="str">
        <f>IF(B100="","",IF('Cumulative Volumes Imperial'!$AQ$17=FALSE,L100,K100))</f>
        <v/>
      </c>
      <c r="K100" s="30" t="str">
        <f t="shared" si="20"/>
        <v/>
      </c>
      <c r="L100" s="30" t="str">
        <f t="shared" si="21"/>
        <v/>
      </c>
      <c r="M100" s="30" t="str">
        <f>IF($E$8+45+$E$9&gt;989,"FALSE",IF(B100="","",IF('Cumulative Volumes Imperial'!$AQ$17=FALSE,O100,N100)))</f>
        <v/>
      </c>
      <c r="N100" s="30" t="str">
        <f t="shared" si="22"/>
        <v/>
      </c>
      <c r="O100" s="30" t="str">
        <f>IF(B100=0,"",IF('Cumulative Volumes Imperial'!$AQ$17=FALSE,(V100*$E$4)+(W100*$E$5),N100))</f>
        <v/>
      </c>
      <c r="P100" s="30" t="str">
        <f>IF(B100=0,"",(((1/12)*'Imperial Data'!$AC$4*'Imperial Data'!$AC$5)-C100)*$H$6)</f>
        <v/>
      </c>
      <c r="Q100" s="30" t="str">
        <f t="shared" si="23"/>
        <v/>
      </c>
      <c r="R100" s="30" t="str">
        <f>IF(B100=0,"",(((1/12)*'Imperial Data'!$AC$5*'Imperial Data'!$AC$7)-D100)*$H$6)</f>
        <v/>
      </c>
      <c r="S100" s="30" t="str">
        <f t="shared" si="24"/>
        <v/>
      </c>
      <c r="T100" s="30" t="str">
        <f t="shared" si="25"/>
        <v/>
      </c>
      <c r="U100" s="30" t="str">
        <f t="shared" si="26"/>
        <v/>
      </c>
      <c r="V100" s="30" t="str">
        <f t="shared" si="27"/>
        <v/>
      </c>
      <c r="W100" s="30" t="str">
        <f t="shared" si="29"/>
        <v/>
      </c>
      <c r="X100" s="31" t="str">
        <f t="shared" si="28"/>
        <v/>
      </c>
      <c r="Y100" s="30" t="str">
        <f t="shared" si="30"/>
        <v/>
      </c>
    </row>
    <row r="101" spans="1:25" x14ac:dyDescent="0.2">
      <c r="A101" s="2">
        <v>88</v>
      </c>
      <c r="B101" s="34">
        <f t="shared" si="31"/>
        <v>0</v>
      </c>
      <c r="C101" s="30" t="str">
        <f>IF(B101=0,"",IF('Imperial Data'!AG90&gt;=1, INDEX(Imperial_Incremental[], MATCH('Imperial Data'!AG90, Imperial_Incremental[Height], 1), MATCH('Cumulative Volumes Imperial'!$F$4, Imperial_Incremental[#Headers], 0)), 0))</f>
        <v/>
      </c>
      <c r="D101" s="30" t="str">
        <f>IF(B101=0,"",IF('Imperial Data'!AG90&gt;=1, INDEX(Imperial_Incremental[], MATCH('Imperial Data'!AG90, Imperial_Incremental[Height], 1), MATCH('Cumulative Volumes Imperial'!$F$4 &amp; "EC", Imperial_Incremental[#Headers], 0)), 0))</f>
        <v/>
      </c>
      <c r="E101" s="30" t="str">
        <f t="shared" si="16"/>
        <v/>
      </c>
      <c r="F101" s="30" t="str">
        <f t="shared" si="17"/>
        <v/>
      </c>
      <c r="G101" s="30" t="str">
        <f>IF(B101=0,"",IF('Cumulative Volumes Imperial'!$AQ$17=FALSE,I101,H101))</f>
        <v/>
      </c>
      <c r="H101" s="30" t="str">
        <f t="shared" si="18"/>
        <v/>
      </c>
      <c r="I101" s="30" t="str">
        <f t="shared" si="19"/>
        <v/>
      </c>
      <c r="J101" s="30" t="str">
        <f>IF(B101="","",IF('Cumulative Volumes Imperial'!$AQ$17=FALSE,L101,K101))</f>
        <v/>
      </c>
      <c r="K101" s="30" t="str">
        <f t="shared" si="20"/>
        <v/>
      </c>
      <c r="L101" s="30" t="str">
        <f t="shared" si="21"/>
        <v/>
      </c>
      <c r="M101" s="30" t="str">
        <f>IF($E$8+45+$E$9&gt;989,"FALSE",IF(B101="","",IF('Cumulative Volumes Imperial'!$AQ$17=FALSE,O101,N101)))</f>
        <v/>
      </c>
      <c r="N101" s="30" t="str">
        <f t="shared" si="22"/>
        <v/>
      </c>
      <c r="O101" s="30" t="str">
        <f>IF(B101=0,"",IF('Cumulative Volumes Imperial'!$AQ$17=FALSE,(V101*$E$4)+(W101*$E$5),N101))</f>
        <v/>
      </c>
      <c r="P101" s="30" t="str">
        <f>IF(B101=0,"",(((1/12)*'Imperial Data'!$AC$4*'Imperial Data'!$AC$5)-C101)*$H$6)</f>
        <v/>
      </c>
      <c r="Q101" s="30" t="str">
        <f t="shared" si="23"/>
        <v/>
      </c>
      <c r="R101" s="30" t="str">
        <f>IF(B101=0,"",(((1/12)*'Imperial Data'!$AC$5*'Imperial Data'!$AC$7)-D101)*$H$6)</f>
        <v/>
      </c>
      <c r="S101" s="30" t="str">
        <f t="shared" si="24"/>
        <v/>
      </c>
      <c r="T101" s="30" t="str">
        <f t="shared" si="25"/>
        <v/>
      </c>
      <c r="U101" s="30" t="str">
        <f t="shared" si="26"/>
        <v/>
      </c>
      <c r="V101" s="30" t="str">
        <f t="shared" si="27"/>
        <v/>
      </c>
      <c r="W101" s="30" t="str">
        <f t="shared" si="29"/>
        <v/>
      </c>
      <c r="X101" s="31" t="str">
        <f t="shared" si="28"/>
        <v/>
      </c>
      <c r="Y101" s="30" t="str">
        <f t="shared" si="30"/>
        <v/>
      </c>
    </row>
    <row r="102" spans="1:25" x14ac:dyDescent="0.2">
      <c r="A102" s="2">
        <v>89</v>
      </c>
      <c r="B102" s="34">
        <f t="shared" si="31"/>
        <v>0</v>
      </c>
      <c r="C102" s="30" t="str">
        <f>IF(B102=0,"",IF('Imperial Data'!AG91&gt;=1, INDEX(Imperial_Incremental[], MATCH('Imperial Data'!AG91, Imperial_Incremental[Height], 1), MATCH('Cumulative Volumes Imperial'!$F$4, Imperial_Incremental[#Headers], 0)), 0))</f>
        <v/>
      </c>
      <c r="D102" s="30" t="str">
        <f>IF(B102=0,"",IF('Imperial Data'!AG91&gt;=1, INDEX(Imperial_Incremental[], MATCH('Imperial Data'!AG91, Imperial_Incremental[Height], 1), MATCH('Cumulative Volumes Imperial'!$F$4 &amp; "EC", Imperial_Incremental[#Headers], 0)), 0))</f>
        <v/>
      </c>
      <c r="E102" s="30" t="str">
        <f t="shared" si="16"/>
        <v/>
      </c>
      <c r="F102" s="30" t="str">
        <f t="shared" si="17"/>
        <v/>
      </c>
      <c r="G102" s="30" t="str">
        <f>IF(B102=0,"",IF('Cumulative Volumes Imperial'!$AQ$17=FALSE,I102,H102))</f>
        <v/>
      </c>
      <c r="H102" s="30" t="str">
        <f t="shared" si="18"/>
        <v/>
      </c>
      <c r="I102" s="30" t="str">
        <f t="shared" si="19"/>
        <v/>
      </c>
      <c r="J102" s="30" t="str">
        <f>IF(B102="","",IF('Cumulative Volumes Imperial'!$AQ$17=FALSE,L102,K102))</f>
        <v/>
      </c>
      <c r="K102" s="30" t="str">
        <f t="shared" si="20"/>
        <v/>
      </c>
      <c r="L102" s="30" t="str">
        <f t="shared" si="21"/>
        <v/>
      </c>
      <c r="M102" s="30" t="str">
        <f>IF($E$8+45+$E$9&gt;989,"FALSE",IF(B102="","",IF('Cumulative Volumes Imperial'!$AQ$17=FALSE,O102,N102)))</f>
        <v/>
      </c>
      <c r="N102" s="30" t="str">
        <f t="shared" si="22"/>
        <v/>
      </c>
      <c r="O102" s="30" t="str">
        <f>IF(B102=0,"",IF('Cumulative Volumes Imperial'!$AQ$17=FALSE,(V102*$E$4)+(W102*$E$5),N102))</f>
        <v/>
      </c>
      <c r="P102" s="30" t="str">
        <f>IF(B102=0,"",(((1/12)*'Imperial Data'!$AC$4*'Imperial Data'!$AC$5)-C102)*$H$6)</f>
        <v/>
      </c>
      <c r="Q102" s="30" t="str">
        <f t="shared" si="23"/>
        <v/>
      </c>
      <c r="R102" s="30" t="str">
        <f>IF(B102=0,"",(((1/12)*'Imperial Data'!$AC$5*'Imperial Data'!$AC$7)-D102)*$H$6)</f>
        <v/>
      </c>
      <c r="S102" s="30" t="str">
        <f t="shared" si="24"/>
        <v/>
      </c>
      <c r="T102" s="30" t="str">
        <f t="shared" si="25"/>
        <v/>
      </c>
      <c r="U102" s="30" t="str">
        <f t="shared" si="26"/>
        <v/>
      </c>
      <c r="V102" s="30" t="str">
        <f t="shared" si="27"/>
        <v/>
      </c>
      <c r="W102" s="30" t="str">
        <f t="shared" si="29"/>
        <v/>
      </c>
      <c r="X102" s="31" t="str">
        <f t="shared" si="28"/>
        <v/>
      </c>
      <c r="Y102" s="30" t="str">
        <f t="shared" si="30"/>
        <v/>
      </c>
    </row>
    <row r="103" spans="1:25" x14ac:dyDescent="0.2">
      <c r="A103" s="2">
        <v>90</v>
      </c>
      <c r="B103" s="34">
        <f t="shared" si="31"/>
        <v>0</v>
      </c>
      <c r="C103" s="30" t="str">
        <f>IF(B103=0,"",IF('Imperial Data'!AG92&gt;=1, INDEX(Imperial_Incremental[], MATCH('Imperial Data'!AG92, Imperial_Incremental[Height], 1), MATCH('Cumulative Volumes Imperial'!$F$4, Imperial_Incremental[#Headers], 0)), 0))</f>
        <v/>
      </c>
      <c r="D103" s="30" t="str">
        <f>IF(B103=0,"",IF('Imperial Data'!AG92&gt;=1, INDEX(Imperial_Incremental[], MATCH('Imperial Data'!AG92, Imperial_Incremental[Height], 1), MATCH('Cumulative Volumes Imperial'!$F$4 &amp; "EC", Imperial_Incremental[#Headers], 0)), 0))</f>
        <v/>
      </c>
      <c r="E103" s="30" t="str">
        <f t="shared" si="16"/>
        <v/>
      </c>
      <c r="F103" s="30" t="str">
        <f t="shared" si="17"/>
        <v/>
      </c>
      <c r="G103" s="30" t="str">
        <f>IF(B103=0,"",IF('Cumulative Volumes Imperial'!$AQ$17=FALSE,I103,H103))</f>
        <v/>
      </c>
      <c r="H103" s="30" t="str">
        <f t="shared" si="18"/>
        <v/>
      </c>
      <c r="I103" s="30" t="str">
        <f t="shared" si="19"/>
        <v/>
      </c>
      <c r="J103" s="30" t="str">
        <f>IF(B103="","",IF('Cumulative Volumes Imperial'!$AQ$17=FALSE,L103,K103))</f>
        <v/>
      </c>
      <c r="K103" s="30" t="str">
        <f t="shared" si="20"/>
        <v/>
      </c>
      <c r="L103" s="30" t="str">
        <f t="shared" si="21"/>
        <v/>
      </c>
      <c r="M103" s="30" t="str">
        <f>IF($E$8+45+$E$9&gt;989,"FALSE",IF(B103="","",IF('Cumulative Volumes Imperial'!$AQ$17=FALSE,O103,N103)))</f>
        <v/>
      </c>
      <c r="N103" s="30" t="str">
        <f t="shared" si="22"/>
        <v/>
      </c>
      <c r="O103" s="30" t="str">
        <f>IF(B103=0,"",IF('Cumulative Volumes Imperial'!$AQ$17=FALSE,(V103*$E$4)+(W103*$E$5),N103))</f>
        <v/>
      </c>
      <c r="P103" s="30" t="str">
        <f>IF(B103=0,"",(((1/12)*'Imperial Data'!$AC$4*'Imperial Data'!$AC$5)-C103)*$H$6)</f>
        <v/>
      </c>
      <c r="Q103" s="30" t="str">
        <f t="shared" si="23"/>
        <v/>
      </c>
      <c r="R103" s="30" t="str">
        <f>IF(B103=0,"",(((1/12)*'Imperial Data'!$AC$5*'Imperial Data'!$AC$7)-D103)*$H$6)</f>
        <v/>
      </c>
      <c r="S103" s="30" t="str">
        <f t="shared" si="24"/>
        <v/>
      </c>
      <c r="T103" s="30" t="str">
        <f t="shared" si="25"/>
        <v/>
      </c>
      <c r="U103" s="30" t="str">
        <f t="shared" si="26"/>
        <v/>
      </c>
      <c r="V103" s="30" t="str">
        <f t="shared" si="27"/>
        <v/>
      </c>
      <c r="W103" s="30" t="str">
        <f t="shared" si="29"/>
        <v/>
      </c>
      <c r="X103" s="31" t="str">
        <f t="shared" si="28"/>
        <v/>
      </c>
      <c r="Y103" s="30" t="str">
        <f t="shared" si="30"/>
        <v/>
      </c>
    </row>
    <row r="104" spans="1:25" x14ac:dyDescent="0.2">
      <c r="A104" s="2">
        <v>91</v>
      </c>
      <c r="B104" s="34">
        <f t="shared" si="31"/>
        <v>0</v>
      </c>
      <c r="C104" s="30" t="str">
        <f>IF(B104=0,"",IF('Imperial Data'!AG93&gt;=1, INDEX(Imperial_Incremental[], MATCH('Imperial Data'!AG93, Imperial_Incremental[Height], 1), MATCH('Cumulative Volumes Imperial'!$F$4, Imperial_Incremental[#Headers], 0)), 0))</f>
        <v/>
      </c>
      <c r="D104" s="30" t="str">
        <f>IF(B104=0,"",IF('Imperial Data'!AG93&gt;=1, INDEX(Imperial_Incremental[], MATCH('Imperial Data'!AG93, Imperial_Incremental[Height], 1), MATCH('Cumulative Volumes Imperial'!$F$4 &amp; "EC", Imperial_Incremental[#Headers], 0)), 0))</f>
        <v/>
      </c>
      <c r="E104" s="30" t="str">
        <f t="shared" si="16"/>
        <v/>
      </c>
      <c r="F104" s="30" t="str">
        <f t="shared" si="17"/>
        <v/>
      </c>
      <c r="G104" s="30" t="str">
        <f>IF(B104=0,"",IF('Cumulative Volumes Imperial'!$AQ$17=FALSE,I104,H104))</f>
        <v/>
      </c>
      <c r="H104" s="30" t="str">
        <f t="shared" si="18"/>
        <v/>
      </c>
      <c r="I104" s="30" t="str">
        <f t="shared" si="19"/>
        <v/>
      </c>
      <c r="J104" s="30" t="str">
        <f>IF(B104="","",IF('Cumulative Volumes Imperial'!$AQ$17=FALSE,L104,K104))</f>
        <v/>
      </c>
      <c r="K104" s="30" t="str">
        <f t="shared" si="20"/>
        <v/>
      </c>
      <c r="L104" s="30" t="str">
        <f t="shared" si="21"/>
        <v/>
      </c>
      <c r="M104" s="30" t="str">
        <f>IF($E$8+45+$E$9&gt;989,"FALSE",IF(B104="","",IF('Cumulative Volumes Imperial'!$AQ$17=FALSE,O104,N104)))</f>
        <v/>
      </c>
      <c r="N104" s="30" t="str">
        <f t="shared" si="22"/>
        <v/>
      </c>
      <c r="O104" s="30" t="str">
        <f>IF(B104=0,"",IF('Cumulative Volumes Imperial'!$AQ$17=FALSE,(V104*$E$4)+(W104*$E$5),N104))</f>
        <v/>
      </c>
      <c r="P104" s="30" t="str">
        <f>IF(B104=0,"",(((1/12)*'Imperial Data'!$AC$4*'Imperial Data'!$AC$5)-C104)*$H$6)</f>
        <v/>
      </c>
      <c r="Q104" s="30" t="str">
        <f t="shared" si="23"/>
        <v/>
      </c>
      <c r="R104" s="30" t="str">
        <f>IF(B104=0,"",(((1/12)*'Imperial Data'!$AC$5*'Imperial Data'!$AC$7)-D104)*$H$6)</f>
        <v/>
      </c>
      <c r="S104" s="30" t="str">
        <f t="shared" si="24"/>
        <v/>
      </c>
      <c r="T104" s="30" t="str">
        <f t="shared" si="25"/>
        <v/>
      </c>
      <c r="U104" s="30" t="str">
        <f t="shared" si="26"/>
        <v/>
      </c>
      <c r="V104" s="30" t="str">
        <f t="shared" si="27"/>
        <v/>
      </c>
      <c r="W104" s="30" t="str">
        <f t="shared" si="29"/>
        <v/>
      </c>
      <c r="X104" s="31" t="str">
        <f t="shared" si="28"/>
        <v/>
      </c>
      <c r="Y104" s="30" t="str">
        <f t="shared" si="30"/>
        <v/>
      </c>
    </row>
    <row r="105" spans="1:25" x14ac:dyDescent="0.2">
      <c r="A105" s="2">
        <v>92</v>
      </c>
      <c r="B105" s="34">
        <f t="shared" si="31"/>
        <v>0</v>
      </c>
      <c r="C105" s="30" t="str">
        <f>IF(B105=0,"",IF('Imperial Data'!AG94&gt;=1, INDEX(Imperial_Incremental[], MATCH('Imperial Data'!AG94, Imperial_Incremental[Height], 1), MATCH('Cumulative Volumes Imperial'!$F$4, Imperial_Incremental[#Headers], 0)), 0))</f>
        <v/>
      </c>
      <c r="D105" s="30" t="str">
        <f>IF(B105=0,"",IF('Imperial Data'!AG94&gt;=1, INDEX(Imperial_Incremental[], MATCH('Imperial Data'!AG94, Imperial_Incremental[Height], 1), MATCH('Cumulative Volumes Imperial'!$F$4 &amp; "EC", Imperial_Incremental[#Headers], 0)), 0))</f>
        <v/>
      </c>
      <c r="E105" s="30" t="str">
        <f t="shared" si="16"/>
        <v/>
      </c>
      <c r="F105" s="30" t="str">
        <f t="shared" si="17"/>
        <v/>
      </c>
      <c r="G105" s="30" t="str">
        <f>IF(B105=0,"",IF('Cumulative Volumes Imperial'!$AQ$17=FALSE,I105,H105))</f>
        <v/>
      </c>
      <c r="H105" s="30" t="str">
        <f t="shared" si="18"/>
        <v/>
      </c>
      <c r="I105" s="30" t="str">
        <f t="shared" si="19"/>
        <v/>
      </c>
      <c r="J105" s="30" t="str">
        <f>IF(B105="","",IF('Cumulative Volumes Imperial'!$AQ$17=FALSE,L105,K105))</f>
        <v/>
      </c>
      <c r="K105" s="30" t="str">
        <f t="shared" si="20"/>
        <v/>
      </c>
      <c r="L105" s="30" t="str">
        <f t="shared" si="21"/>
        <v/>
      </c>
      <c r="M105" s="30" t="str">
        <f>IF($E$8+45+$E$9&gt;989,"FALSE",IF(B105="","",IF('Cumulative Volumes Imperial'!$AQ$17=FALSE,O105,N105)))</f>
        <v/>
      </c>
      <c r="N105" s="30" t="str">
        <f t="shared" si="22"/>
        <v/>
      </c>
      <c r="O105" s="30" t="str">
        <f>IF(B105=0,"",IF('Cumulative Volumes Imperial'!$AQ$17=FALSE,(V105*$E$4)+(W105*$E$5),N105))</f>
        <v/>
      </c>
      <c r="P105" s="30" t="str">
        <f>IF(B105=0,"",(((1/12)*'Imperial Data'!$AC$4*'Imperial Data'!$AC$5)-C105)*$H$6)</f>
        <v/>
      </c>
      <c r="Q105" s="30" t="str">
        <f t="shared" si="23"/>
        <v/>
      </c>
      <c r="R105" s="30" t="str">
        <f>IF(B105=0,"",(((1/12)*'Imperial Data'!$AC$5*'Imperial Data'!$AC$7)-D105)*$H$6)</f>
        <v/>
      </c>
      <c r="S105" s="30" t="str">
        <f t="shared" si="24"/>
        <v/>
      </c>
      <c r="T105" s="30" t="str">
        <f t="shared" si="25"/>
        <v/>
      </c>
      <c r="U105" s="30" t="str">
        <f t="shared" si="26"/>
        <v/>
      </c>
      <c r="V105" s="30" t="str">
        <f t="shared" si="27"/>
        <v/>
      </c>
      <c r="W105" s="30" t="str">
        <f t="shared" si="29"/>
        <v/>
      </c>
      <c r="X105" s="31" t="str">
        <f t="shared" si="28"/>
        <v/>
      </c>
      <c r="Y105" s="30" t="str">
        <f t="shared" si="30"/>
        <v/>
      </c>
    </row>
    <row r="106" spans="1:25" x14ac:dyDescent="0.2">
      <c r="A106" s="2">
        <v>93</v>
      </c>
      <c r="B106" s="34">
        <f t="shared" si="31"/>
        <v>0</v>
      </c>
      <c r="C106" s="30" t="str">
        <f>IF(B106=0,"",IF('Imperial Data'!AG95&gt;=1, INDEX(Imperial_Incremental[], MATCH('Imperial Data'!AG95, Imperial_Incremental[Height], 1), MATCH('Cumulative Volumes Imperial'!$F$4, Imperial_Incremental[#Headers], 0)), 0))</f>
        <v/>
      </c>
      <c r="D106" s="30" t="str">
        <f>IF(B106=0,"",IF('Imperial Data'!AG95&gt;=1, INDEX(Imperial_Incremental[], MATCH('Imperial Data'!AG95, Imperial_Incremental[Height], 1), MATCH('Cumulative Volumes Imperial'!$F$4 &amp; "EC", Imperial_Incremental[#Headers], 0)), 0))</f>
        <v/>
      </c>
      <c r="E106" s="30" t="str">
        <f t="shared" si="16"/>
        <v/>
      </c>
      <c r="F106" s="30" t="str">
        <f t="shared" si="17"/>
        <v/>
      </c>
      <c r="G106" s="30" t="str">
        <f>IF(B106=0,"",IF('Cumulative Volumes Imperial'!$AQ$17=FALSE,I106,H106))</f>
        <v/>
      </c>
      <c r="H106" s="30" t="str">
        <f t="shared" si="18"/>
        <v/>
      </c>
      <c r="I106" s="30" t="str">
        <f t="shared" si="19"/>
        <v/>
      </c>
      <c r="J106" s="30" t="str">
        <f>IF(B106="","",IF('Cumulative Volumes Imperial'!$AQ$17=FALSE,L106,K106))</f>
        <v/>
      </c>
      <c r="K106" s="30" t="str">
        <f t="shared" si="20"/>
        <v/>
      </c>
      <c r="L106" s="30" t="str">
        <f t="shared" si="21"/>
        <v/>
      </c>
      <c r="M106" s="30" t="str">
        <f>IF($E$8+45+$E$9&gt;989,"FALSE",IF(B106="","",IF('Cumulative Volumes Imperial'!$AQ$17=FALSE,O106,N106)))</f>
        <v/>
      </c>
      <c r="N106" s="30" t="str">
        <f t="shared" si="22"/>
        <v/>
      </c>
      <c r="O106" s="30" t="str">
        <f>IF(B106=0,"",IF('Cumulative Volumes Imperial'!$AQ$17=FALSE,(V106*$E$4)+(W106*$E$5),N106))</f>
        <v/>
      </c>
      <c r="P106" s="30" t="str">
        <f>IF(B106=0,"",(((1/12)*'Imperial Data'!$AC$4*'Imperial Data'!$AC$5)-C106)*$H$6)</f>
        <v/>
      </c>
      <c r="Q106" s="30" t="str">
        <f t="shared" si="23"/>
        <v/>
      </c>
      <c r="R106" s="30" t="str">
        <f>IF(B106=0,"",(((1/12)*'Imperial Data'!$AC$5*'Imperial Data'!$AC$7)-D106)*$H$6)</f>
        <v/>
      </c>
      <c r="S106" s="30" t="str">
        <f t="shared" si="24"/>
        <v/>
      </c>
      <c r="T106" s="30" t="str">
        <f t="shared" si="25"/>
        <v/>
      </c>
      <c r="U106" s="30" t="str">
        <f t="shared" si="26"/>
        <v/>
      </c>
      <c r="V106" s="30" t="str">
        <f t="shared" si="27"/>
        <v/>
      </c>
      <c r="W106" s="30" t="str">
        <f t="shared" si="29"/>
        <v/>
      </c>
      <c r="X106" s="31" t="str">
        <f t="shared" si="28"/>
        <v/>
      </c>
      <c r="Y106" s="30" t="str">
        <f t="shared" si="30"/>
        <v/>
      </c>
    </row>
    <row r="107" spans="1:25" x14ac:dyDescent="0.2">
      <c r="A107" s="2">
        <v>94</v>
      </c>
      <c r="B107" s="34">
        <f t="shared" si="31"/>
        <v>0</v>
      </c>
      <c r="C107" s="30" t="str">
        <f>IF(B107=0,"",IF('Imperial Data'!AG96&gt;=1, INDEX(Imperial_Incremental[], MATCH('Imperial Data'!AG96, Imperial_Incremental[Height], 1), MATCH('Cumulative Volumes Imperial'!$F$4, Imperial_Incremental[#Headers], 0)), 0))</f>
        <v/>
      </c>
      <c r="D107" s="30" t="str">
        <f>IF(B107=0,"",IF('Imperial Data'!AG96&gt;=1, INDEX(Imperial_Incremental[], MATCH('Imperial Data'!AG96, Imperial_Incremental[Height], 1), MATCH('Cumulative Volumes Imperial'!$F$4 &amp; "EC", Imperial_Incremental[#Headers], 0)), 0))</f>
        <v/>
      </c>
      <c r="E107" s="30" t="str">
        <f t="shared" si="16"/>
        <v/>
      </c>
      <c r="F107" s="30" t="str">
        <f t="shared" si="17"/>
        <v/>
      </c>
      <c r="G107" s="30" t="str">
        <f>IF(B107=0,"",IF('Cumulative Volumes Imperial'!$AQ$17=FALSE,I107,H107))</f>
        <v/>
      </c>
      <c r="H107" s="30" t="str">
        <f t="shared" si="18"/>
        <v/>
      </c>
      <c r="I107" s="30" t="str">
        <f t="shared" si="19"/>
        <v/>
      </c>
      <c r="J107" s="30" t="str">
        <f>IF(B107="","",IF('Cumulative Volumes Imperial'!$AQ$17=FALSE,L107,K107))</f>
        <v/>
      </c>
      <c r="K107" s="30" t="str">
        <f t="shared" si="20"/>
        <v/>
      </c>
      <c r="L107" s="30" t="str">
        <f t="shared" si="21"/>
        <v/>
      </c>
      <c r="M107" s="30" t="str">
        <f>IF($E$8+45+$E$9&gt;989,"FALSE",IF(B107="","",IF('Cumulative Volumes Imperial'!$AQ$17=FALSE,O107,N107)))</f>
        <v/>
      </c>
      <c r="N107" s="30" t="str">
        <f t="shared" si="22"/>
        <v/>
      </c>
      <c r="O107" s="30" t="str">
        <f>IF(B107=0,"",IF('Cumulative Volumes Imperial'!$AQ$17=FALSE,(V107*$E$4)+(W107*$E$5),N107))</f>
        <v/>
      </c>
      <c r="P107" s="30" t="str">
        <f>IF(B107=0,"",(((1/12)*'Imperial Data'!$AC$4*'Imperial Data'!$AC$5)-C107)*$H$6)</f>
        <v/>
      </c>
      <c r="Q107" s="30" t="str">
        <f t="shared" si="23"/>
        <v/>
      </c>
      <c r="R107" s="30" t="str">
        <f>IF(B107=0,"",(((1/12)*'Imperial Data'!$AC$5*'Imperial Data'!$AC$7)-D107)*$H$6)</f>
        <v/>
      </c>
      <c r="S107" s="30" t="str">
        <f t="shared" si="24"/>
        <v/>
      </c>
      <c r="T107" s="30" t="str">
        <f t="shared" si="25"/>
        <v/>
      </c>
      <c r="U107" s="30" t="str">
        <f t="shared" si="26"/>
        <v/>
      </c>
      <c r="V107" s="30" t="str">
        <f t="shared" si="27"/>
        <v/>
      </c>
      <c r="W107" s="30" t="str">
        <f t="shared" si="29"/>
        <v/>
      </c>
      <c r="X107" s="31" t="str">
        <f t="shared" si="28"/>
        <v/>
      </c>
      <c r="Y107" s="30" t="str">
        <f t="shared" si="30"/>
        <v/>
      </c>
    </row>
    <row r="108" spans="1:25" x14ac:dyDescent="0.2">
      <c r="A108" s="2">
        <v>95</v>
      </c>
      <c r="B108" s="34">
        <f t="shared" si="31"/>
        <v>0</v>
      </c>
      <c r="C108" s="30" t="str">
        <f>IF(B108=0,"",IF('Imperial Data'!AG97&gt;=1, INDEX(Imperial_Incremental[], MATCH('Imperial Data'!AG97, Imperial_Incremental[Height], 1), MATCH('Cumulative Volumes Imperial'!$F$4, Imperial_Incremental[#Headers], 0)), 0))</f>
        <v/>
      </c>
      <c r="D108" s="30" t="str">
        <f>IF(B108=0,"",IF('Imperial Data'!AG97&gt;=1, INDEX(Imperial_Incremental[], MATCH('Imperial Data'!AG97, Imperial_Incremental[Height], 1), MATCH('Cumulative Volumes Imperial'!$F$4 &amp; "EC", Imperial_Incremental[#Headers], 0)), 0))</f>
        <v/>
      </c>
      <c r="E108" s="30" t="str">
        <f t="shared" si="16"/>
        <v/>
      </c>
      <c r="F108" s="30" t="str">
        <f t="shared" si="17"/>
        <v/>
      </c>
      <c r="G108" s="30" t="str">
        <f>IF(B108=0,"",IF('Cumulative Volumes Imperial'!$AQ$17=FALSE,I108,H108))</f>
        <v/>
      </c>
      <c r="H108" s="30" t="str">
        <f t="shared" si="18"/>
        <v/>
      </c>
      <c r="I108" s="30" t="str">
        <f t="shared" si="19"/>
        <v/>
      </c>
      <c r="J108" s="30" t="str">
        <f>IF(B108="","",IF('Cumulative Volumes Imperial'!$AQ$17=FALSE,L108,K108))</f>
        <v/>
      </c>
      <c r="K108" s="30" t="str">
        <f t="shared" si="20"/>
        <v/>
      </c>
      <c r="L108" s="30" t="str">
        <f t="shared" si="21"/>
        <v/>
      </c>
      <c r="M108" s="30" t="str">
        <f>IF($E$8+45+$E$9&gt;989,"FALSE",IF(B108="","",IF('Cumulative Volumes Imperial'!$AQ$17=FALSE,O108,N108)))</f>
        <v/>
      </c>
      <c r="N108" s="30" t="str">
        <f t="shared" si="22"/>
        <v/>
      </c>
      <c r="O108" s="30" t="str">
        <f>IF(B108=0,"",IF('Cumulative Volumes Imperial'!$AQ$17=FALSE,(V108*$E$4)+(W108*$E$5),N108))</f>
        <v/>
      </c>
      <c r="P108" s="30" t="str">
        <f>IF(B108=0,"",(((1/12)*'Imperial Data'!$AC$4*'Imperial Data'!$AC$5)-C108)*$H$6)</f>
        <v/>
      </c>
      <c r="Q108" s="30" t="str">
        <f t="shared" si="23"/>
        <v/>
      </c>
      <c r="R108" s="30" t="str">
        <f>IF(B108=0,"",(((1/12)*'Imperial Data'!$AC$5*'Imperial Data'!$AC$7)-D108)*$H$6)</f>
        <v/>
      </c>
      <c r="S108" s="30" t="str">
        <f t="shared" si="24"/>
        <v/>
      </c>
      <c r="T108" s="30" t="str">
        <f t="shared" si="25"/>
        <v/>
      </c>
      <c r="U108" s="30" t="str">
        <f t="shared" si="26"/>
        <v/>
      </c>
      <c r="V108" s="30" t="str">
        <f t="shared" si="27"/>
        <v/>
      </c>
      <c r="W108" s="30" t="str">
        <f t="shared" si="29"/>
        <v/>
      </c>
      <c r="X108" s="31" t="str">
        <f t="shared" si="28"/>
        <v/>
      </c>
      <c r="Y108" s="30" t="str">
        <f t="shared" si="30"/>
        <v/>
      </c>
    </row>
    <row r="109" spans="1:25" x14ac:dyDescent="0.2">
      <c r="A109" s="2">
        <v>96</v>
      </c>
      <c r="B109" s="34">
        <f t="shared" si="31"/>
        <v>0</v>
      </c>
      <c r="C109" s="30" t="str">
        <f>IF(B109=0,"",IF('Imperial Data'!AG98&gt;=1, INDEX(Imperial_Incremental[], MATCH('Imperial Data'!AG98, Imperial_Incremental[Height], 1), MATCH('Cumulative Volumes Imperial'!$F$4, Imperial_Incremental[#Headers], 0)), 0))</f>
        <v/>
      </c>
      <c r="D109" s="30" t="str">
        <f>IF(B109=0,"",IF('Imperial Data'!AG98&gt;=1, INDEX(Imperial_Incremental[], MATCH('Imperial Data'!AG98, Imperial_Incremental[Height], 1), MATCH('Cumulative Volumes Imperial'!$F$4 &amp; "EC", Imperial_Incremental[#Headers], 0)), 0))</f>
        <v/>
      </c>
      <c r="E109" s="30" t="str">
        <f t="shared" si="16"/>
        <v/>
      </c>
      <c r="F109" s="30" t="str">
        <f t="shared" si="17"/>
        <v/>
      </c>
      <c r="G109" s="30" t="str">
        <f>IF(B109=0,"",IF('Cumulative Volumes Imperial'!$AQ$17=FALSE,I109,H109))</f>
        <v/>
      </c>
      <c r="H109" s="30" t="str">
        <f t="shared" si="18"/>
        <v/>
      </c>
      <c r="I109" s="30" t="str">
        <f t="shared" si="19"/>
        <v/>
      </c>
      <c r="J109" s="30" t="str">
        <f>IF(B109="","",IF('Cumulative Volumes Imperial'!$AQ$17=FALSE,L109,K109))</f>
        <v/>
      </c>
      <c r="K109" s="30" t="str">
        <f t="shared" si="20"/>
        <v/>
      </c>
      <c r="L109" s="30" t="str">
        <f t="shared" si="21"/>
        <v/>
      </c>
      <c r="M109" s="30" t="str">
        <f>IF($E$8+45+$E$9&gt;989,"FALSE",IF(B109="","",IF('Cumulative Volumes Imperial'!$AQ$17=FALSE,O109,N109)))</f>
        <v/>
      </c>
      <c r="N109" s="30" t="str">
        <f t="shared" si="22"/>
        <v/>
      </c>
      <c r="O109" s="30" t="str">
        <f>IF(B109=0,"",IF('Cumulative Volumes Imperial'!$AQ$17=FALSE,(V109*$E$4)+(W109*$E$5),N109))</f>
        <v/>
      </c>
      <c r="P109" s="30" t="str">
        <f>IF(B109=0,"",(((1/12)*'Imperial Data'!$AC$4*'Imperial Data'!$AC$5)-C109)*$H$6)</f>
        <v/>
      </c>
      <c r="Q109" s="30" t="str">
        <f t="shared" si="23"/>
        <v/>
      </c>
      <c r="R109" s="30" t="str">
        <f>IF(B109=0,"",(((1/12)*'Imperial Data'!$AC$5*'Imperial Data'!$AC$7)-D109)*$H$6)</f>
        <v/>
      </c>
      <c r="S109" s="30" t="str">
        <f t="shared" si="24"/>
        <v/>
      </c>
      <c r="T109" s="30" t="str">
        <f t="shared" si="25"/>
        <v/>
      </c>
      <c r="U109" s="30" t="str">
        <f t="shared" si="26"/>
        <v/>
      </c>
      <c r="V109" s="30" t="str">
        <f t="shared" si="27"/>
        <v/>
      </c>
      <c r="W109" s="30" t="str">
        <f t="shared" si="29"/>
        <v/>
      </c>
      <c r="X109" s="31" t="str">
        <f t="shared" si="28"/>
        <v/>
      </c>
      <c r="Y109" s="30" t="str">
        <f t="shared" si="30"/>
        <v/>
      </c>
    </row>
    <row r="110" spans="1:25" x14ac:dyDescent="0.2">
      <c r="A110" s="2">
        <v>97</v>
      </c>
      <c r="B110" s="34">
        <f t="shared" si="31"/>
        <v>0</v>
      </c>
      <c r="C110" s="30" t="str">
        <f>IF(B110=0,"",IF('Imperial Data'!AG99&gt;=1, INDEX(Imperial_Incremental[], MATCH('Imperial Data'!AG99, Imperial_Incremental[Height], 1), MATCH('Cumulative Volumes Imperial'!$F$4, Imperial_Incremental[#Headers], 0)), 0))</f>
        <v/>
      </c>
      <c r="D110" s="30" t="str">
        <f>IF(B110=0,"",IF('Imperial Data'!AG99&gt;=1, INDEX(Imperial_Incremental[], MATCH('Imperial Data'!AG99, Imperial_Incremental[Height], 1), MATCH('Cumulative Volumes Imperial'!$F$4 &amp; "EC", Imperial_Incremental[#Headers], 0)), 0))</f>
        <v/>
      </c>
      <c r="E110" s="30" t="str">
        <f t="shared" si="16"/>
        <v/>
      </c>
      <c r="F110" s="30" t="str">
        <f t="shared" si="17"/>
        <v/>
      </c>
      <c r="G110" s="30" t="str">
        <f>IF(B110=0,"",IF('Cumulative Volumes Imperial'!$AQ$17=FALSE,I110,H110))</f>
        <v/>
      </c>
      <c r="H110" s="30" t="str">
        <f t="shared" si="18"/>
        <v/>
      </c>
      <c r="I110" s="30" t="str">
        <f t="shared" si="19"/>
        <v/>
      </c>
      <c r="J110" s="30" t="str">
        <f>IF(B110="","",IF('Cumulative Volumes Imperial'!$AQ$17=FALSE,L110,K110))</f>
        <v/>
      </c>
      <c r="K110" s="30" t="str">
        <f t="shared" si="20"/>
        <v/>
      </c>
      <c r="L110" s="30" t="str">
        <f t="shared" si="21"/>
        <v/>
      </c>
      <c r="M110" s="30" t="str">
        <f>IF($E$8+45+$E$9&gt;989,"FALSE",IF(B110="","",IF('Cumulative Volumes Imperial'!$AQ$17=FALSE,O110,N110)))</f>
        <v/>
      </c>
      <c r="N110" s="30" t="str">
        <f t="shared" si="22"/>
        <v/>
      </c>
      <c r="O110" s="30" t="str">
        <f>IF(B110=0,"",IF('Cumulative Volumes Imperial'!$AQ$17=FALSE,(V110*$E$4)+(W110*$E$5),N110))</f>
        <v/>
      </c>
      <c r="P110" s="30" t="str">
        <f>IF(B110=0,"",(((1/12)*'Imperial Data'!$AC$4*'Imperial Data'!$AC$5)-C110)*$H$6)</f>
        <v/>
      </c>
      <c r="Q110" s="30" t="str">
        <f t="shared" si="23"/>
        <v/>
      </c>
      <c r="R110" s="30" t="str">
        <f>IF(B110=0,"",(((1/12)*'Imperial Data'!$AC$5*'Imperial Data'!$AC$7)-D110)*$H$6)</f>
        <v/>
      </c>
      <c r="S110" s="30" t="str">
        <f t="shared" si="24"/>
        <v/>
      </c>
      <c r="T110" s="30" t="str">
        <f t="shared" si="25"/>
        <v/>
      </c>
      <c r="U110" s="30" t="str">
        <f t="shared" si="26"/>
        <v/>
      </c>
      <c r="V110" s="30" t="str">
        <f t="shared" si="27"/>
        <v/>
      </c>
      <c r="W110" s="30" t="str">
        <f t="shared" si="29"/>
        <v/>
      </c>
      <c r="X110" s="31" t="str">
        <f t="shared" si="28"/>
        <v/>
      </c>
      <c r="Y110" s="30" t="str">
        <f t="shared" si="30"/>
        <v/>
      </c>
    </row>
    <row r="111" spans="1:25" x14ac:dyDescent="0.2">
      <c r="A111" s="2">
        <v>98</v>
      </c>
      <c r="B111" s="34">
        <f t="shared" si="31"/>
        <v>0</v>
      </c>
      <c r="C111" s="30" t="str">
        <f>IF(B111=0,"",IF('Imperial Data'!AG100&gt;=1, INDEX(Imperial_Incremental[], MATCH('Imperial Data'!AG100, Imperial_Incremental[Height], 1), MATCH('Cumulative Volumes Imperial'!$F$4, Imperial_Incremental[#Headers], 0)), 0))</f>
        <v/>
      </c>
      <c r="D111" s="30" t="str">
        <f>IF(B111=0,"",IF('Imperial Data'!AG100&gt;=1, INDEX(Imperial_Incremental[], MATCH('Imperial Data'!AG100, Imperial_Incremental[Height], 1), MATCH('Cumulative Volumes Imperial'!$F$4 &amp; "EC", Imperial_Incremental[#Headers], 0)), 0))</f>
        <v/>
      </c>
      <c r="E111" s="30" t="str">
        <f t="shared" si="16"/>
        <v/>
      </c>
      <c r="F111" s="30" t="str">
        <f t="shared" si="17"/>
        <v/>
      </c>
      <c r="G111" s="30" t="str">
        <f>IF(B111=0,"",IF('Cumulative Volumes Imperial'!$AQ$17=FALSE,I111,H111))</f>
        <v/>
      </c>
      <c r="H111" s="30" t="str">
        <f t="shared" si="18"/>
        <v/>
      </c>
      <c r="I111" s="30" t="str">
        <f t="shared" si="19"/>
        <v/>
      </c>
      <c r="J111" s="30" t="str">
        <f>IF(B111="","",IF('Cumulative Volumes Imperial'!$AQ$17=FALSE,L111,K111))</f>
        <v/>
      </c>
      <c r="K111" s="30" t="str">
        <f t="shared" si="20"/>
        <v/>
      </c>
      <c r="L111" s="30" t="str">
        <f t="shared" si="21"/>
        <v/>
      </c>
      <c r="M111" s="30" t="str">
        <f>IF($E$8+45+$E$9&gt;989,"FALSE",IF(B111="","",IF('Cumulative Volumes Imperial'!$AQ$17=FALSE,O111,N111)))</f>
        <v/>
      </c>
      <c r="N111" s="30" t="str">
        <f t="shared" si="22"/>
        <v/>
      </c>
      <c r="O111" s="30" t="str">
        <f>IF(B111=0,"",IF('Cumulative Volumes Imperial'!$AQ$17=FALSE,(V111*$E$4)+(W111*$E$5),N111))</f>
        <v/>
      </c>
      <c r="P111" s="30" t="str">
        <f>IF(B111=0,"",(((1/12)*'Imperial Data'!$AC$4*'Imperial Data'!$AC$5)-C111)*$H$6)</f>
        <v/>
      </c>
      <c r="Q111" s="30" t="str">
        <f t="shared" si="23"/>
        <v/>
      </c>
      <c r="R111" s="30" t="str">
        <f>IF(B111=0,"",(((1/12)*'Imperial Data'!$AC$5*'Imperial Data'!$AC$7)-D111)*$H$6)</f>
        <v/>
      </c>
      <c r="S111" s="30" t="str">
        <f t="shared" si="24"/>
        <v/>
      </c>
      <c r="T111" s="30" t="str">
        <f t="shared" si="25"/>
        <v/>
      </c>
      <c r="U111" s="30" t="str">
        <f t="shared" si="26"/>
        <v/>
      </c>
      <c r="V111" s="30" t="str">
        <f t="shared" si="27"/>
        <v/>
      </c>
      <c r="W111" s="30" t="str">
        <f t="shared" si="29"/>
        <v/>
      </c>
      <c r="X111" s="31" t="str">
        <f t="shared" si="28"/>
        <v/>
      </c>
      <c r="Y111" s="30" t="str">
        <f t="shared" si="30"/>
        <v/>
      </c>
    </row>
    <row r="112" spans="1:25" x14ac:dyDescent="0.2">
      <c r="A112" s="2">
        <v>99</v>
      </c>
      <c r="B112" s="34">
        <f t="shared" si="31"/>
        <v>0</v>
      </c>
      <c r="C112" s="30" t="str">
        <f>IF(B112=0,"",IF('Imperial Data'!AG101&gt;=1, INDEX(Imperial_Incremental[], MATCH('Imperial Data'!AG101, Imperial_Incremental[Height], 1), MATCH('Cumulative Volumes Imperial'!$F$4, Imperial_Incremental[#Headers], 0)), 0))</f>
        <v/>
      </c>
      <c r="D112" s="30" t="str">
        <f>IF(B112=0,"",IF('Imperial Data'!AG101&gt;=1, INDEX(Imperial_Incremental[], MATCH('Imperial Data'!AG101, Imperial_Incremental[Height], 1), MATCH('Cumulative Volumes Imperial'!$F$4 &amp; "EC", Imperial_Incremental[#Headers], 0)), 0))</f>
        <v/>
      </c>
      <c r="E112" s="30" t="str">
        <f t="shared" si="16"/>
        <v/>
      </c>
      <c r="F112" s="30" t="str">
        <f t="shared" si="17"/>
        <v/>
      </c>
      <c r="G112" s="30" t="str">
        <f>IF(B112=0,"",IF('Cumulative Volumes Imperial'!$AQ$17=FALSE,I112,H112))</f>
        <v/>
      </c>
      <c r="H112" s="30" t="str">
        <f t="shared" si="18"/>
        <v/>
      </c>
      <c r="I112" s="30" t="str">
        <f t="shared" si="19"/>
        <v/>
      </c>
      <c r="J112" s="30" t="str">
        <f>IF(B112="","",IF('Cumulative Volumes Imperial'!$AQ$17=FALSE,L112,K112))</f>
        <v/>
      </c>
      <c r="K112" s="30" t="str">
        <f t="shared" si="20"/>
        <v/>
      </c>
      <c r="L112" s="30" t="str">
        <f t="shared" si="21"/>
        <v/>
      </c>
      <c r="M112" s="30" t="str">
        <f>IF($E$8+45+$E$9&gt;989,"FALSE",IF(B112="","",IF('Cumulative Volumes Imperial'!$AQ$17=FALSE,O112,N112)))</f>
        <v/>
      </c>
      <c r="N112" s="30" t="str">
        <f t="shared" si="22"/>
        <v/>
      </c>
      <c r="O112" s="30" t="str">
        <f>IF(B112=0,"",IF('Cumulative Volumes Imperial'!$AQ$17=FALSE,(V112*$E$4)+(W112*$E$5),N112))</f>
        <v/>
      </c>
      <c r="P112" s="30" t="str">
        <f>IF(B112=0,"",(((1/12)*'Imperial Data'!$AC$4*'Imperial Data'!$AC$5)-C112)*$H$6)</f>
        <v/>
      </c>
      <c r="Q112" s="30" t="str">
        <f t="shared" si="23"/>
        <v/>
      </c>
      <c r="R112" s="30" t="str">
        <f>IF(B112=0,"",(((1/12)*'Imperial Data'!$AC$5*'Imperial Data'!$AC$7)-D112)*$H$6)</f>
        <v/>
      </c>
      <c r="S112" s="30" t="str">
        <f t="shared" si="24"/>
        <v/>
      </c>
      <c r="T112" s="30" t="str">
        <f t="shared" si="25"/>
        <v/>
      </c>
      <c r="U112" s="30" t="str">
        <f t="shared" si="26"/>
        <v/>
      </c>
      <c r="V112" s="30" t="str">
        <f t="shared" si="27"/>
        <v/>
      </c>
      <c r="W112" s="30" t="str">
        <f t="shared" si="29"/>
        <v/>
      </c>
      <c r="X112" s="31" t="str">
        <f t="shared" si="28"/>
        <v/>
      </c>
      <c r="Y112" s="30" t="str">
        <f t="shared" si="30"/>
        <v/>
      </c>
    </row>
    <row r="113" spans="1:25" x14ac:dyDescent="0.2">
      <c r="A113" s="2">
        <v>100</v>
      </c>
      <c r="B113" s="34">
        <f t="shared" si="31"/>
        <v>0</v>
      </c>
      <c r="C113" s="30" t="str">
        <f>IF(B113=0,"",IF('Imperial Data'!AG102&gt;=1, INDEX(Imperial_Incremental[], MATCH('Imperial Data'!AG102, Imperial_Incremental[Height], 1), MATCH('Cumulative Volumes Imperial'!$F$4, Imperial_Incremental[#Headers], 0)), 0))</f>
        <v/>
      </c>
      <c r="D113" s="30" t="str">
        <f>IF(B113=0,"",IF('Imperial Data'!AG102&gt;=1, INDEX(Imperial_Incremental[], MATCH('Imperial Data'!AG102, Imperial_Incremental[Height], 1), MATCH('Cumulative Volumes Imperial'!$F$4 &amp; "EC", Imperial_Incremental[#Headers], 0)), 0))</f>
        <v/>
      </c>
      <c r="E113" s="30" t="str">
        <f t="shared" si="16"/>
        <v/>
      </c>
      <c r="F113" s="30" t="str">
        <f t="shared" si="17"/>
        <v/>
      </c>
      <c r="G113" s="30" t="str">
        <f>IF(B113=0,"",IF('Cumulative Volumes Imperial'!$AQ$17=FALSE,I113,H113))</f>
        <v/>
      </c>
      <c r="H113" s="30" t="str">
        <f t="shared" si="18"/>
        <v/>
      </c>
      <c r="I113" s="30" t="str">
        <f t="shared" si="19"/>
        <v/>
      </c>
      <c r="J113" s="30" t="str">
        <f>IF(B113="","",IF('Cumulative Volumes Imperial'!$AQ$17=FALSE,L113,K113))</f>
        <v/>
      </c>
      <c r="K113" s="30" t="str">
        <f t="shared" si="20"/>
        <v/>
      </c>
      <c r="L113" s="30" t="str">
        <f t="shared" si="21"/>
        <v/>
      </c>
      <c r="M113" s="30" t="str">
        <f>IF($E$8+45+$E$9&gt;989,"FALSE",IF(B113="","",IF('Cumulative Volumes Imperial'!$AQ$17=FALSE,O113,N113)))</f>
        <v/>
      </c>
      <c r="N113" s="30" t="str">
        <f t="shared" si="22"/>
        <v/>
      </c>
      <c r="O113" s="30" t="str">
        <f>IF(B113=0,"",IF('Cumulative Volumes Imperial'!$AQ$17=FALSE,(V113*$E$4)+(W113*$E$5),N113))</f>
        <v/>
      </c>
      <c r="P113" s="30" t="str">
        <f>IF(B113=0,"",(((1/12)*'Imperial Data'!$AC$4*'Imperial Data'!$AC$5)-C113)*$H$6)</f>
        <v/>
      </c>
      <c r="Q113" s="30" t="str">
        <f t="shared" si="23"/>
        <v/>
      </c>
      <c r="R113" s="30" t="str">
        <f>IF(B113=0,"",(((1/12)*'Imperial Data'!$AC$5*'Imperial Data'!$AC$7)-D113)*$H$6)</f>
        <v/>
      </c>
      <c r="S113" s="30" t="str">
        <f t="shared" si="24"/>
        <v/>
      </c>
      <c r="T113" s="30" t="str">
        <f t="shared" si="25"/>
        <v/>
      </c>
      <c r="U113" s="30" t="str">
        <f t="shared" si="26"/>
        <v/>
      </c>
      <c r="V113" s="30" t="str">
        <f t="shared" si="27"/>
        <v/>
      </c>
      <c r="W113" s="30" t="str">
        <f t="shared" si="29"/>
        <v/>
      </c>
      <c r="X113" s="31" t="str">
        <f t="shared" si="28"/>
        <v/>
      </c>
      <c r="Y113" s="30" t="str">
        <f t="shared" si="30"/>
        <v/>
      </c>
    </row>
    <row r="114" spans="1:25" x14ac:dyDescent="0.2">
      <c r="A114" s="2">
        <v>101</v>
      </c>
      <c r="B114" s="34">
        <f t="shared" si="31"/>
        <v>0</v>
      </c>
      <c r="C114" s="30" t="str">
        <f>IF(B114=0,"",IF('Imperial Data'!AG103&gt;=1, INDEX(Imperial_Incremental[], MATCH('Imperial Data'!AG103, Imperial_Incremental[Height], 1), MATCH('Cumulative Volumes Imperial'!$F$4, Imperial_Incremental[#Headers], 0)), 0))</f>
        <v/>
      </c>
      <c r="D114" s="30" t="str">
        <f>IF(B114=0,"",IF('Imperial Data'!AG103&gt;=1, INDEX(Imperial_Incremental[], MATCH('Imperial Data'!AG103, Imperial_Incremental[Height], 1), MATCH('Cumulative Volumes Imperial'!$F$4 &amp; "EC", Imperial_Incremental[#Headers], 0)), 0))</f>
        <v/>
      </c>
      <c r="E114" s="30" t="str">
        <f t="shared" si="16"/>
        <v/>
      </c>
      <c r="F114" s="30" t="str">
        <f t="shared" si="17"/>
        <v/>
      </c>
      <c r="G114" s="30" t="str">
        <f>IF(B114=0,"",IF('Cumulative Volumes Imperial'!$AQ$17=FALSE,I114,H114))</f>
        <v/>
      </c>
      <c r="H114" s="30" t="str">
        <f t="shared" si="18"/>
        <v/>
      </c>
      <c r="I114" s="30" t="str">
        <f t="shared" si="19"/>
        <v/>
      </c>
      <c r="J114" s="30" t="str">
        <f>IF(B114="","",IF('Cumulative Volumes Imperial'!$AQ$17=FALSE,L114,K114))</f>
        <v/>
      </c>
      <c r="K114" s="30" t="str">
        <f t="shared" si="20"/>
        <v/>
      </c>
      <c r="L114" s="30" t="str">
        <f t="shared" si="21"/>
        <v/>
      </c>
      <c r="M114" s="30" t="str">
        <f>IF($E$8+45+$E$9&gt;989,"FALSE",IF(B114="","",IF('Cumulative Volumes Imperial'!$AQ$17=FALSE,O114,N114)))</f>
        <v/>
      </c>
      <c r="N114" s="30" t="str">
        <f t="shared" si="22"/>
        <v/>
      </c>
      <c r="O114" s="30" t="str">
        <f>IF(B114=0,"",IF('Cumulative Volumes Imperial'!$AQ$17=FALSE,(V114*$E$4)+(W114*$E$5),N114))</f>
        <v/>
      </c>
      <c r="P114" s="30" t="str">
        <f>IF(B114=0,"",(((1/12)*'Imperial Data'!$AC$4*'Imperial Data'!$AC$5)-C114)*$H$6)</f>
        <v/>
      </c>
      <c r="Q114" s="30" t="str">
        <f t="shared" si="23"/>
        <v/>
      </c>
      <c r="R114" s="30" t="str">
        <f>IF(B114=0,"",(((1/12)*'Imperial Data'!$AC$5*'Imperial Data'!$AC$7)-D114)*$H$6)</f>
        <v/>
      </c>
      <c r="S114" s="30" t="str">
        <f t="shared" si="24"/>
        <v/>
      </c>
      <c r="T114" s="30" t="str">
        <f t="shared" si="25"/>
        <v/>
      </c>
      <c r="U114" s="30" t="str">
        <f t="shared" si="26"/>
        <v/>
      </c>
      <c r="V114" s="30" t="str">
        <f t="shared" si="27"/>
        <v/>
      </c>
      <c r="W114" s="30" t="str">
        <f t="shared" si="29"/>
        <v/>
      </c>
      <c r="X114" s="31" t="str">
        <f t="shared" si="28"/>
        <v/>
      </c>
      <c r="Y114" s="30" t="str">
        <f t="shared" si="30"/>
        <v/>
      </c>
    </row>
    <row r="115" spans="1:25" x14ac:dyDescent="0.2">
      <c r="A115" s="2">
        <v>102</v>
      </c>
      <c r="B115" s="34">
        <f t="shared" si="31"/>
        <v>0</v>
      </c>
      <c r="C115" s="30" t="str">
        <f>IF(B115=0,"",IF('Imperial Data'!AG104&gt;=1, INDEX(Imperial_Incremental[], MATCH('Imperial Data'!AG104, Imperial_Incremental[Height], 1), MATCH('Cumulative Volumes Imperial'!$F$4, Imperial_Incremental[#Headers], 0)), 0))</f>
        <v/>
      </c>
      <c r="D115" s="30" t="str">
        <f>IF(B115=0,"",IF('Imperial Data'!AG104&gt;=1, INDEX(Imperial_Incremental[], MATCH('Imperial Data'!AG104, Imperial_Incremental[Height], 1), MATCH('Cumulative Volumes Imperial'!$F$4 &amp; "EC", Imperial_Incremental[#Headers], 0)), 0))</f>
        <v/>
      </c>
      <c r="E115" s="30" t="str">
        <f t="shared" si="16"/>
        <v/>
      </c>
      <c r="F115" s="30" t="str">
        <f t="shared" si="17"/>
        <v/>
      </c>
      <c r="G115" s="30" t="str">
        <f>IF(B115=0,"",IF('Cumulative Volumes Imperial'!$AQ$17=FALSE,I115,H115))</f>
        <v/>
      </c>
      <c r="H115" s="30" t="str">
        <f t="shared" si="18"/>
        <v/>
      </c>
      <c r="I115" s="30" t="str">
        <f t="shared" si="19"/>
        <v/>
      </c>
      <c r="J115" s="30" t="str">
        <f>IF(B115="","",IF('Cumulative Volumes Imperial'!$AQ$17=FALSE,L115,K115))</f>
        <v/>
      </c>
      <c r="K115" s="30" t="str">
        <f t="shared" si="20"/>
        <v/>
      </c>
      <c r="L115" s="30" t="str">
        <f t="shared" si="21"/>
        <v/>
      </c>
      <c r="M115" s="30" t="str">
        <f>IF($E$8+45+$E$9&gt;989,"FALSE",IF(B115="","",IF('Cumulative Volumes Imperial'!$AQ$17=FALSE,O115,N115)))</f>
        <v/>
      </c>
      <c r="N115" s="30" t="str">
        <f t="shared" si="22"/>
        <v/>
      </c>
      <c r="O115" s="30" t="str">
        <f>IF(B115=0,"",IF('Cumulative Volumes Imperial'!$AQ$17=FALSE,(V115*$E$4)+(W115*$E$5),N115))</f>
        <v/>
      </c>
      <c r="P115" s="30" t="str">
        <f>IF(B115=0,"",(((1/12)*'Imperial Data'!$AC$4*'Imperial Data'!$AC$5)-C115)*$H$6)</f>
        <v/>
      </c>
      <c r="Q115" s="30" t="str">
        <f t="shared" si="23"/>
        <v/>
      </c>
      <c r="R115" s="30" t="str">
        <f>IF(B115=0,"",(((1/12)*'Imperial Data'!$AC$5*'Imperial Data'!$AC$7)-D115)*$H$6)</f>
        <v/>
      </c>
      <c r="S115" s="30" t="str">
        <f t="shared" si="24"/>
        <v/>
      </c>
      <c r="T115" s="30" t="str">
        <f t="shared" si="25"/>
        <v/>
      </c>
      <c r="U115" s="30" t="str">
        <f t="shared" si="26"/>
        <v/>
      </c>
      <c r="V115" s="30" t="str">
        <f t="shared" si="27"/>
        <v/>
      </c>
      <c r="W115" s="30" t="str">
        <f t="shared" si="29"/>
        <v/>
      </c>
      <c r="X115" s="31" t="str">
        <f t="shared" si="28"/>
        <v/>
      </c>
      <c r="Y115" s="30" t="str">
        <f t="shared" si="30"/>
        <v/>
      </c>
    </row>
    <row r="116" spans="1:25" x14ac:dyDescent="0.2">
      <c r="A116" s="2">
        <v>103</v>
      </c>
      <c r="B116" s="34">
        <f t="shared" si="31"/>
        <v>0</v>
      </c>
      <c r="C116" s="30" t="str">
        <f>IF(B116=0,"",IF('Imperial Data'!AG105&gt;=1, INDEX(Imperial_Incremental[], MATCH('Imperial Data'!AG105, Imperial_Incremental[Height], 1), MATCH('Cumulative Volumes Imperial'!$F$4, Imperial_Incremental[#Headers], 0)), 0))</f>
        <v/>
      </c>
      <c r="D116" s="30" t="str">
        <f>IF(B116=0,"",IF('Imperial Data'!AG105&gt;=1, INDEX(Imperial_Incremental[], MATCH('Imperial Data'!AG105, Imperial_Incremental[Height], 1), MATCH('Cumulative Volumes Imperial'!$F$4 &amp; "EC", Imperial_Incremental[#Headers], 0)), 0))</f>
        <v/>
      </c>
      <c r="E116" s="30" t="str">
        <f t="shared" si="16"/>
        <v/>
      </c>
      <c r="F116" s="30" t="str">
        <f t="shared" si="17"/>
        <v/>
      </c>
      <c r="G116" s="30" t="str">
        <f>IF(B116=0,"",IF('Cumulative Volumes Imperial'!$AQ$17=FALSE,I116,H116))</f>
        <v/>
      </c>
      <c r="H116" s="30" t="str">
        <f t="shared" si="18"/>
        <v/>
      </c>
      <c r="I116" s="30" t="str">
        <f t="shared" si="19"/>
        <v/>
      </c>
      <c r="J116" s="30" t="str">
        <f>IF(B116="","",IF('Cumulative Volumes Imperial'!$AQ$17=FALSE,L116,K116))</f>
        <v/>
      </c>
      <c r="K116" s="30" t="str">
        <f t="shared" si="20"/>
        <v/>
      </c>
      <c r="L116" s="30" t="str">
        <f t="shared" si="21"/>
        <v/>
      </c>
      <c r="M116" s="30" t="str">
        <f>IF($E$8+45+$E$9&gt;989,"FALSE",IF(B116="","",IF('Cumulative Volumes Imperial'!$AQ$17=FALSE,O116,N116)))</f>
        <v/>
      </c>
      <c r="N116" s="30" t="str">
        <f t="shared" si="22"/>
        <v/>
      </c>
      <c r="O116" s="30" t="str">
        <f>IF(B116=0,"",IF('Cumulative Volumes Imperial'!$AQ$17=FALSE,(V116*$E$4)+(W116*$E$5),N116))</f>
        <v/>
      </c>
      <c r="P116" s="30" t="str">
        <f>IF(B116=0,"",(((1/12)*'Imperial Data'!$AC$4*'Imperial Data'!$AC$5)-C116)*$H$6)</f>
        <v/>
      </c>
      <c r="Q116" s="30" t="str">
        <f t="shared" si="23"/>
        <v/>
      </c>
      <c r="R116" s="30" t="str">
        <f>IF(B116=0,"",(((1/12)*'Imperial Data'!$AC$5*'Imperial Data'!$AC$7)-D116)*$H$6)</f>
        <v/>
      </c>
      <c r="S116" s="30" t="str">
        <f t="shared" si="24"/>
        <v/>
      </c>
      <c r="T116" s="30" t="str">
        <f t="shared" si="25"/>
        <v/>
      </c>
      <c r="U116" s="30" t="str">
        <f t="shared" si="26"/>
        <v/>
      </c>
      <c r="V116" s="30" t="str">
        <f t="shared" si="27"/>
        <v/>
      </c>
      <c r="W116" s="30" t="str">
        <f t="shared" si="29"/>
        <v/>
      </c>
      <c r="X116" s="31" t="str">
        <f t="shared" si="28"/>
        <v/>
      </c>
      <c r="Y116" s="30" t="str">
        <f t="shared" si="30"/>
        <v/>
      </c>
    </row>
    <row r="117" spans="1:25" x14ac:dyDescent="0.2">
      <c r="A117" s="2">
        <v>104</v>
      </c>
      <c r="B117" s="34">
        <f t="shared" si="31"/>
        <v>0</v>
      </c>
      <c r="C117" s="30" t="str">
        <f>IF(B117=0,"",IF('Imperial Data'!AG106&gt;=1, INDEX(Imperial_Incremental[], MATCH('Imperial Data'!AG106, Imperial_Incremental[Height], 1), MATCH('Cumulative Volumes Imperial'!$F$4, Imperial_Incremental[#Headers], 0)), 0))</f>
        <v/>
      </c>
      <c r="D117" s="30" t="str">
        <f>IF(B117=0,"",IF('Imperial Data'!AG106&gt;=1, INDEX(Imperial_Incremental[], MATCH('Imperial Data'!AG106, Imperial_Incremental[Height], 1), MATCH('Cumulative Volumes Imperial'!$F$4 &amp; "EC", Imperial_Incremental[#Headers], 0)), 0))</f>
        <v/>
      </c>
      <c r="E117" s="30" t="str">
        <f t="shared" si="16"/>
        <v/>
      </c>
      <c r="F117" s="30" t="str">
        <f t="shared" si="17"/>
        <v/>
      </c>
      <c r="G117" s="30" t="str">
        <f>IF(B117=0,"",IF('Cumulative Volumes Imperial'!$AQ$17=FALSE,I117,H117))</f>
        <v/>
      </c>
      <c r="H117" s="30" t="str">
        <f t="shared" si="18"/>
        <v/>
      </c>
      <c r="I117" s="30" t="str">
        <f t="shared" si="19"/>
        <v/>
      </c>
      <c r="J117" s="30" t="str">
        <f>IF(B117="","",IF('Cumulative Volumes Imperial'!$AQ$17=FALSE,L117,K117))</f>
        <v/>
      </c>
      <c r="K117" s="30" t="str">
        <f t="shared" si="20"/>
        <v/>
      </c>
      <c r="L117" s="30" t="str">
        <f t="shared" si="21"/>
        <v/>
      </c>
      <c r="M117" s="30" t="str">
        <f>IF($E$8+45+$E$9&gt;989,"FALSE",IF(B117="","",IF('Cumulative Volumes Imperial'!$AQ$17=FALSE,O117,N117)))</f>
        <v/>
      </c>
      <c r="N117" s="30" t="str">
        <f t="shared" si="22"/>
        <v/>
      </c>
      <c r="O117" s="30" t="str">
        <f>IF(B117=0,"",IF('Cumulative Volumes Imperial'!$AQ$17=FALSE,(V117*$E$4)+(W117*$E$5),N117))</f>
        <v/>
      </c>
      <c r="P117" s="30" t="str">
        <f>IF(B117=0,"",(((1/12)*'Imperial Data'!$AC$4*'Imperial Data'!$AC$5)-C117)*$H$6)</f>
        <v/>
      </c>
      <c r="Q117" s="30" t="str">
        <f t="shared" si="23"/>
        <v/>
      </c>
      <c r="R117" s="30" t="str">
        <f>IF(B117=0,"",(((1/12)*'Imperial Data'!$AC$5*'Imperial Data'!$AC$7)-D117)*$H$6)</f>
        <v/>
      </c>
      <c r="S117" s="30" t="str">
        <f t="shared" si="24"/>
        <v/>
      </c>
      <c r="T117" s="30" t="str">
        <f t="shared" si="25"/>
        <v/>
      </c>
      <c r="U117" s="30" t="str">
        <f t="shared" si="26"/>
        <v/>
      </c>
      <c r="V117" s="30" t="str">
        <f t="shared" si="27"/>
        <v/>
      </c>
      <c r="W117" s="30" t="str">
        <f t="shared" si="29"/>
        <v/>
      </c>
      <c r="X117" s="31" t="str">
        <f t="shared" si="28"/>
        <v/>
      </c>
      <c r="Y117" s="30" t="str">
        <f t="shared" si="30"/>
        <v/>
      </c>
    </row>
    <row r="118" spans="1:25" x14ac:dyDescent="0.2">
      <c r="A118" s="2">
        <v>105</v>
      </c>
      <c r="B118" s="34">
        <f t="shared" si="31"/>
        <v>0</v>
      </c>
      <c r="C118" s="30" t="str">
        <f>IF(B118=0,"",IF('Imperial Data'!AG107&gt;=1, INDEX(Imperial_Incremental[], MATCH('Imperial Data'!AG107, Imperial_Incremental[Height], 1), MATCH('Cumulative Volumes Imperial'!$F$4, Imperial_Incremental[#Headers], 0)), 0))</f>
        <v/>
      </c>
      <c r="D118" s="30" t="str">
        <f>IF(B118=0,"",IF('Imperial Data'!AG107&gt;=1, INDEX(Imperial_Incremental[], MATCH('Imperial Data'!AG107, Imperial_Incremental[Height], 1), MATCH('Cumulative Volumes Imperial'!$F$4 &amp; "EC", Imperial_Incremental[#Headers], 0)), 0))</f>
        <v/>
      </c>
      <c r="E118" s="30" t="str">
        <f t="shared" si="16"/>
        <v/>
      </c>
      <c r="F118" s="30" t="str">
        <f t="shared" si="17"/>
        <v/>
      </c>
      <c r="G118" s="30" t="str">
        <f>IF(B118=0,"",IF('Cumulative Volumes Imperial'!$AQ$17=FALSE,I118,H118))</f>
        <v/>
      </c>
      <c r="H118" s="30" t="str">
        <f t="shared" si="18"/>
        <v/>
      </c>
      <c r="I118" s="30" t="str">
        <f t="shared" si="19"/>
        <v/>
      </c>
      <c r="J118" s="30" t="str">
        <f>IF(B118="","",IF('Cumulative Volumes Imperial'!$AQ$17=FALSE,L118,K118))</f>
        <v/>
      </c>
      <c r="K118" s="30" t="str">
        <f t="shared" si="20"/>
        <v/>
      </c>
      <c r="L118" s="30" t="str">
        <f t="shared" si="21"/>
        <v/>
      </c>
      <c r="M118" s="30" t="str">
        <f>IF($E$8+45+$E$9&gt;989,"FALSE",IF(B118="","",IF('Cumulative Volumes Imperial'!$AQ$17=FALSE,O118,N118)))</f>
        <v/>
      </c>
      <c r="N118" s="30" t="str">
        <f t="shared" si="22"/>
        <v/>
      </c>
      <c r="O118" s="30" t="str">
        <f>IF(B118=0,"",IF('Cumulative Volumes Imperial'!$AQ$17=FALSE,(V118*$E$4)+(W118*$E$5),N118))</f>
        <v/>
      </c>
      <c r="P118" s="30" t="str">
        <f>IF(B118=0,"",(((1/12)*'Imperial Data'!$AC$4*'Imperial Data'!$AC$5)-C118)*$H$6)</f>
        <v/>
      </c>
      <c r="Q118" s="30" t="str">
        <f t="shared" si="23"/>
        <v/>
      </c>
      <c r="R118" s="30" t="str">
        <f>IF(B118=0,"",(((1/12)*'Imperial Data'!$AC$5*'Imperial Data'!$AC$7)-D118)*$H$6)</f>
        <v/>
      </c>
      <c r="S118" s="30" t="str">
        <f t="shared" si="24"/>
        <v/>
      </c>
      <c r="T118" s="30" t="str">
        <f t="shared" si="25"/>
        <v/>
      </c>
      <c r="U118" s="30" t="str">
        <f t="shared" si="26"/>
        <v/>
      </c>
      <c r="V118" s="30" t="str">
        <f t="shared" si="27"/>
        <v/>
      </c>
      <c r="W118" s="30" t="str">
        <f t="shared" si="29"/>
        <v/>
      </c>
      <c r="X118" s="31" t="str">
        <f t="shared" si="28"/>
        <v/>
      </c>
      <c r="Y118" s="30" t="str">
        <f t="shared" si="30"/>
        <v/>
      </c>
    </row>
    <row r="119" spans="1:25" x14ac:dyDescent="0.2">
      <c r="A119" s="2">
        <v>106</v>
      </c>
      <c r="B119" s="34">
        <f t="shared" si="31"/>
        <v>0</v>
      </c>
      <c r="C119" s="30" t="str">
        <f>IF(B119=0,"",IF('Imperial Data'!AG108&gt;=1, INDEX(Imperial_Incremental[], MATCH('Imperial Data'!AG108, Imperial_Incremental[Height], 1), MATCH('Cumulative Volumes Imperial'!$F$4, Imperial_Incremental[#Headers], 0)), 0))</f>
        <v/>
      </c>
      <c r="D119" s="30" t="str">
        <f>IF(B119=0,"",IF('Imperial Data'!AG108&gt;=1, INDEX(Imperial_Incremental[], MATCH('Imperial Data'!AG108, Imperial_Incremental[Height], 1), MATCH('Cumulative Volumes Imperial'!$F$4 &amp; "EC", Imperial_Incremental[#Headers], 0)), 0))</f>
        <v/>
      </c>
      <c r="E119" s="30" t="str">
        <f t="shared" si="16"/>
        <v/>
      </c>
      <c r="F119" s="30" t="str">
        <f t="shared" si="17"/>
        <v/>
      </c>
      <c r="G119" s="30" t="str">
        <f>IF(B119=0,"",IF('Cumulative Volumes Imperial'!$AQ$17=FALSE,I119,H119))</f>
        <v/>
      </c>
      <c r="H119" s="30" t="str">
        <f t="shared" si="18"/>
        <v/>
      </c>
      <c r="I119" s="30" t="str">
        <f t="shared" si="19"/>
        <v/>
      </c>
      <c r="J119" s="30" t="str">
        <f>IF(B119="","",IF('Cumulative Volumes Imperial'!$AQ$17=FALSE,L119,K119))</f>
        <v/>
      </c>
      <c r="K119" s="30" t="str">
        <f t="shared" si="20"/>
        <v/>
      </c>
      <c r="L119" s="30" t="str">
        <f t="shared" si="21"/>
        <v/>
      </c>
      <c r="M119" s="30" t="str">
        <f>IF($E$8+45+$E$9&gt;989,"FALSE",IF(B119="","",IF('Cumulative Volumes Imperial'!$AQ$17=FALSE,O119,N119)))</f>
        <v/>
      </c>
      <c r="N119" s="30" t="str">
        <f t="shared" si="22"/>
        <v/>
      </c>
      <c r="O119" s="30" t="str">
        <f>IF(B119=0,"",IF('Cumulative Volumes Imperial'!$AQ$17=FALSE,(V119*$E$4)+(W119*$E$5),N119))</f>
        <v/>
      </c>
      <c r="P119" s="30" t="str">
        <f>IF(B119=0,"",(((1/12)*'Imperial Data'!$AC$4*'Imperial Data'!$AC$5)-C119)*$H$6)</f>
        <v/>
      </c>
      <c r="Q119" s="30" t="str">
        <f t="shared" si="23"/>
        <v/>
      </c>
      <c r="R119" s="30" t="str">
        <f>IF(B119=0,"",(((1/12)*'Imperial Data'!$AC$5*'Imperial Data'!$AC$7)-D119)*$H$6)</f>
        <v/>
      </c>
      <c r="S119" s="30" t="str">
        <f t="shared" si="24"/>
        <v/>
      </c>
      <c r="T119" s="30" t="str">
        <f t="shared" si="25"/>
        <v/>
      </c>
      <c r="U119" s="30" t="str">
        <f t="shared" si="26"/>
        <v/>
      </c>
      <c r="V119" s="30" t="str">
        <f t="shared" si="27"/>
        <v/>
      </c>
      <c r="W119" s="30" t="str">
        <f t="shared" si="29"/>
        <v/>
      </c>
      <c r="X119" s="31" t="str">
        <f t="shared" si="28"/>
        <v/>
      </c>
      <c r="Y119" s="30" t="str">
        <f t="shared" si="30"/>
        <v/>
      </c>
    </row>
    <row r="120" spans="1:25" x14ac:dyDescent="0.2">
      <c r="A120" s="2">
        <v>107</v>
      </c>
      <c r="B120" s="34">
        <f t="shared" si="31"/>
        <v>0</v>
      </c>
      <c r="C120" s="30" t="str">
        <f>IF(B120=0,"",IF('Imperial Data'!AG109&gt;=1, INDEX(Imperial_Incremental[], MATCH('Imperial Data'!AG109, Imperial_Incremental[Height], 1), MATCH('Cumulative Volumes Imperial'!$F$4, Imperial_Incremental[#Headers], 0)), 0))</f>
        <v/>
      </c>
      <c r="D120" s="30" t="str">
        <f>IF(B120=0,"",IF('Imperial Data'!AG109&gt;=1, INDEX(Imperial_Incremental[], MATCH('Imperial Data'!AG109, Imperial_Incremental[Height], 1), MATCH('Cumulative Volumes Imperial'!$F$4 &amp; "EC", Imperial_Incremental[#Headers], 0)), 0))</f>
        <v/>
      </c>
      <c r="E120" s="30" t="str">
        <f t="shared" si="16"/>
        <v/>
      </c>
      <c r="F120" s="30" t="str">
        <f t="shared" si="17"/>
        <v/>
      </c>
      <c r="G120" s="30" t="str">
        <f>IF(B120=0,"",IF('Cumulative Volumes Imperial'!$AQ$17=FALSE,I120,H120))</f>
        <v/>
      </c>
      <c r="H120" s="30" t="str">
        <f t="shared" si="18"/>
        <v/>
      </c>
      <c r="I120" s="30" t="str">
        <f t="shared" si="19"/>
        <v/>
      </c>
      <c r="J120" s="30" t="str">
        <f>IF(B120="","",IF('Cumulative Volumes Imperial'!$AQ$17=FALSE,L120,K120))</f>
        <v/>
      </c>
      <c r="K120" s="30" t="str">
        <f t="shared" si="20"/>
        <v/>
      </c>
      <c r="L120" s="30" t="str">
        <f t="shared" si="21"/>
        <v/>
      </c>
      <c r="M120" s="30" t="str">
        <f>IF($E$8+45+$E$9&gt;989,"FALSE",IF(B120="","",IF('Cumulative Volumes Imperial'!$AQ$17=FALSE,O120,N120)))</f>
        <v/>
      </c>
      <c r="N120" s="30" t="str">
        <f t="shared" si="22"/>
        <v/>
      </c>
      <c r="O120" s="30" t="str">
        <f>IF(B120=0,"",IF('Cumulative Volumes Imperial'!$AQ$17=FALSE,(V120*$E$4)+(W120*$E$5),N120))</f>
        <v/>
      </c>
      <c r="P120" s="30" t="str">
        <f>IF(B120=0,"",(((1/12)*'Imperial Data'!$AC$4*'Imperial Data'!$AC$5)-C120)*$H$6)</f>
        <v/>
      </c>
      <c r="Q120" s="30" t="str">
        <f t="shared" si="23"/>
        <v/>
      </c>
      <c r="R120" s="30" t="str">
        <f>IF(B120=0,"",(((1/12)*'Imperial Data'!$AC$5*'Imperial Data'!$AC$7)-D120)*$H$6)</f>
        <v/>
      </c>
      <c r="S120" s="30" t="str">
        <f t="shared" si="24"/>
        <v/>
      </c>
      <c r="T120" s="30" t="str">
        <f t="shared" si="25"/>
        <v/>
      </c>
      <c r="U120" s="30" t="str">
        <f t="shared" si="26"/>
        <v/>
      </c>
      <c r="V120" s="30" t="str">
        <f t="shared" si="27"/>
        <v/>
      </c>
      <c r="W120" s="30" t="str">
        <f t="shared" si="29"/>
        <v/>
      </c>
      <c r="X120" s="31" t="str">
        <f t="shared" si="28"/>
        <v/>
      </c>
      <c r="Y120" s="30" t="str">
        <f t="shared" si="30"/>
        <v/>
      </c>
    </row>
    <row r="121" spans="1:25" x14ac:dyDescent="0.2">
      <c r="A121" s="2">
        <v>108</v>
      </c>
      <c r="B121" s="34">
        <f t="shared" si="31"/>
        <v>0</v>
      </c>
      <c r="C121" s="30" t="str">
        <f>IF(B121=0,"",IF('Imperial Data'!AG110&gt;=1, INDEX(Imperial_Incremental[], MATCH('Imperial Data'!AG110, Imperial_Incremental[Height], 1), MATCH('Cumulative Volumes Imperial'!$F$4, Imperial_Incremental[#Headers], 0)), 0))</f>
        <v/>
      </c>
      <c r="D121" s="30" t="str">
        <f>IF(B121=0,"",IF('Imperial Data'!AG110&gt;=1, INDEX(Imperial_Incremental[], MATCH('Imperial Data'!AG110, Imperial_Incremental[Height], 1), MATCH('Cumulative Volumes Imperial'!$F$4 &amp; "EC", Imperial_Incremental[#Headers], 0)), 0))</f>
        <v/>
      </c>
      <c r="E121" s="30" t="str">
        <f t="shared" si="16"/>
        <v/>
      </c>
      <c r="F121" s="30" t="str">
        <f t="shared" si="17"/>
        <v/>
      </c>
      <c r="G121" s="30" t="str">
        <f>IF(B121=0,"",IF('Cumulative Volumes Imperial'!$AQ$17=FALSE,I121,H121))</f>
        <v/>
      </c>
      <c r="H121" s="30" t="str">
        <f t="shared" si="18"/>
        <v/>
      </c>
      <c r="I121" s="30" t="str">
        <f t="shared" si="19"/>
        <v/>
      </c>
      <c r="J121" s="30" t="str">
        <f>IF(B121="","",IF('Cumulative Volumes Imperial'!$AQ$17=FALSE,L121,K121))</f>
        <v/>
      </c>
      <c r="K121" s="30" t="str">
        <f t="shared" si="20"/>
        <v/>
      </c>
      <c r="L121" s="30" t="str">
        <f t="shared" si="21"/>
        <v/>
      </c>
      <c r="M121" s="30" t="str">
        <f>IF($E$8+45+$E$9&gt;989,"FALSE",IF(B121="","",IF('Cumulative Volumes Imperial'!$AQ$17=FALSE,O121,N121)))</f>
        <v/>
      </c>
      <c r="N121" s="30" t="str">
        <f t="shared" si="22"/>
        <v/>
      </c>
      <c r="O121" s="30" t="str">
        <f>IF(B121=0,"",IF('Cumulative Volumes Imperial'!$AQ$17=FALSE,(V121*$E$4)+(W121*$E$5),N121))</f>
        <v/>
      </c>
      <c r="P121" s="30" t="str">
        <f>IF(B121=0,"",(((1/12)*'Imperial Data'!$AC$4*'Imperial Data'!$AC$5)-C121)*$H$6)</f>
        <v/>
      </c>
      <c r="Q121" s="30" t="str">
        <f t="shared" si="23"/>
        <v/>
      </c>
      <c r="R121" s="30" t="str">
        <f>IF(B121=0,"",(((1/12)*'Imperial Data'!$AC$5*'Imperial Data'!$AC$7)-D121)*$H$6)</f>
        <v/>
      </c>
      <c r="S121" s="30" t="str">
        <f t="shared" si="24"/>
        <v/>
      </c>
      <c r="T121" s="30" t="str">
        <f t="shared" si="25"/>
        <v/>
      </c>
      <c r="U121" s="30" t="str">
        <f t="shared" si="26"/>
        <v/>
      </c>
      <c r="V121" s="30" t="str">
        <f t="shared" si="27"/>
        <v/>
      </c>
      <c r="W121" s="30" t="str">
        <f t="shared" si="29"/>
        <v/>
      </c>
      <c r="X121" s="31" t="str">
        <f t="shared" si="28"/>
        <v/>
      </c>
      <c r="Y121" s="30" t="str">
        <f t="shared" si="30"/>
        <v/>
      </c>
    </row>
    <row r="122" spans="1:25" x14ac:dyDescent="0.2">
      <c r="A122" s="2">
        <v>109</v>
      </c>
      <c r="B122" s="34">
        <f t="shared" si="31"/>
        <v>0</v>
      </c>
      <c r="C122" s="30" t="str">
        <f>IF(B122=0,"",IF('Imperial Data'!AG111&gt;=1, INDEX(Imperial_Incremental[], MATCH('Imperial Data'!AG111, Imperial_Incremental[Height], 1), MATCH('Cumulative Volumes Imperial'!$F$4, Imperial_Incremental[#Headers], 0)), 0))</f>
        <v/>
      </c>
      <c r="D122" s="30" t="str">
        <f>IF(B122=0,"",IF('Imperial Data'!AG111&gt;=1, INDEX(Imperial_Incremental[], MATCH('Imperial Data'!AG111, Imperial_Incremental[Height], 1), MATCH('Cumulative Volumes Imperial'!$F$4 &amp; "EC", Imperial_Incremental[#Headers], 0)), 0))</f>
        <v/>
      </c>
      <c r="E122" s="30" t="str">
        <f t="shared" si="16"/>
        <v/>
      </c>
      <c r="F122" s="30" t="str">
        <f t="shared" si="17"/>
        <v/>
      </c>
      <c r="G122" s="30" t="str">
        <f>IF(B122=0,"",IF('Cumulative Volumes Imperial'!$AQ$17=FALSE,I122,H122))</f>
        <v/>
      </c>
      <c r="H122" s="30" t="str">
        <f t="shared" si="18"/>
        <v/>
      </c>
      <c r="I122" s="30" t="str">
        <f t="shared" si="19"/>
        <v/>
      </c>
      <c r="J122" s="30" t="str">
        <f>IF(B122="","",IF('Cumulative Volumes Imperial'!$AQ$17=FALSE,L122,K122))</f>
        <v/>
      </c>
      <c r="K122" s="30" t="str">
        <f t="shared" si="20"/>
        <v/>
      </c>
      <c r="L122" s="30" t="str">
        <f t="shared" si="21"/>
        <v/>
      </c>
      <c r="M122" s="30" t="str">
        <f>IF($E$8+45+$E$9&gt;989,"FALSE",IF(B122="","",IF('Cumulative Volumes Imperial'!$AQ$17=FALSE,O122,N122)))</f>
        <v/>
      </c>
      <c r="N122" s="30" t="str">
        <f t="shared" si="22"/>
        <v/>
      </c>
      <c r="O122" s="30" t="str">
        <f>IF(B122=0,"",IF('Cumulative Volumes Imperial'!$AQ$17=FALSE,(V122*$E$4)+(W122*$E$5),N122))</f>
        <v/>
      </c>
      <c r="P122" s="30" t="str">
        <f>IF(B122=0,"",(((1/12)*'Imperial Data'!$AC$4*'Imperial Data'!$AC$5)-C122)*$H$6)</f>
        <v/>
      </c>
      <c r="Q122" s="30" t="str">
        <f t="shared" si="23"/>
        <v/>
      </c>
      <c r="R122" s="30" t="str">
        <f>IF(B122=0,"",(((1/12)*'Imperial Data'!$AC$5*'Imperial Data'!$AC$7)-D122)*$H$6)</f>
        <v/>
      </c>
      <c r="S122" s="30" t="str">
        <f t="shared" si="24"/>
        <v/>
      </c>
      <c r="T122" s="30" t="str">
        <f t="shared" si="25"/>
        <v/>
      </c>
      <c r="U122" s="30" t="str">
        <f t="shared" si="26"/>
        <v/>
      </c>
      <c r="V122" s="30" t="str">
        <f t="shared" si="27"/>
        <v/>
      </c>
      <c r="W122" s="30" t="str">
        <f t="shared" si="29"/>
        <v/>
      </c>
      <c r="X122" s="31" t="str">
        <f t="shared" si="28"/>
        <v/>
      </c>
      <c r="Y122" s="30" t="str">
        <f t="shared" si="30"/>
        <v/>
      </c>
    </row>
    <row r="123" spans="1:25" x14ac:dyDescent="0.2">
      <c r="A123" s="2">
        <v>110</v>
      </c>
      <c r="B123" s="34">
        <f t="shared" si="31"/>
        <v>0</v>
      </c>
      <c r="C123" s="30" t="str">
        <f>IF(B123=0,"",IF('Imperial Data'!AG112&gt;=1, INDEX(Imperial_Incremental[], MATCH('Imperial Data'!AG112, Imperial_Incremental[Height], 1), MATCH('Cumulative Volumes Imperial'!$F$4, Imperial_Incremental[#Headers], 0)), 0))</f>
        <v/>
      </c>
      <c r="D123" s="30" t="str">
        <f>IF(B123=0,"",IF('Imperial Data'!AG112&gt;=1, INDEX(Imperial_Incremental[], MATCH('Imperial Data'!AG112, Imperial_Incremental[Height], 1), MATCH('Cumulative Volumes Imperial'!$F$4 &amp; "EC", Imperial_Incremental[#Headers], 0)), 0))</f>
        <v/>
      </c>
      <c r="E123" s="30" t="str">
        <f t="shared" si="16"/>
        <v/>
      </c>
      <c r="F123" s="30" t="str">
        <f t="shared" si="17"/>
        <v/>
      </c>
      <c r="G123" s="30" t="str">
        <f>IF(B123=0,"",IF('Cumulative Volumes Imperial'!$AQ$17=FALSE,I123,H123))</f>
        <v/>
      </c>
      <c r="H123" s="30" t="str">
        <f t="shared" si="18"/>
        <v/>
      </c>
      <c r="I123" s="30" t="str">
        <f t="shared" si="19"/>
        <v/>
      </c>
      <c r="J123" s="30" t="str">
        <f>IF(B123="","",IF('Cumulative Volumes Imperial'!$AQ$17=FALSE,L123,K123))</f>
        <v/>
      </c>
      <c r="K123" s="30" t="str">
        <f t="shared" si="20"/>
        <v/>
      </c>
      <c r="L123" s="30" t="str">
        <f t="shared" si="21"/>
        <v/>
      </c>
      <c r="M123" s="30" t="str">
        <f>IF($E$8+45+$E$9&gt;989,"FALSE",IF(B123="","",IF('Cumulative Volumes Imperial'!$AQ$17=FALSE,O123,N123)))</f>
        <v/>
      </c>
      <c r="N123" s="30" t="str">
        <f t="shared" si="22"/>
        <v/>
      </c>
      <c r="O123" s="30" t="str">
        <f>IF(B123=0,"",IF('Cumulative Volumes Imperial'!$AQ$17=FALSE,(V123*$E$4)+(W123*$E$5),N123))</f>
        <v/>
      </c>
      <c r="P123" s="30" t="str">
        <f>IF(B123=0,"",(((1/12)*'Imperial Data'!$AC$4*'Imperial Data'!$AC$5)-C123)*$H$6)</f>
        <v/>
      </c>
      <c r="Q123" s="30" t="str">
        <f t="shared" si="23"/>
        <v/>
      </c>
      <c r="R123" s="30" t="str">
        <f>IF(B123=0,"",(((1/12)*'Imperial Data'!$AC$5*'Imperial Data'!$AC$7)-D123)*$H$6)</f>
        <v/>
      </c>
      <c r="S123" s="30" t="str">
        <f t="shared" si="24"/>
        <v/>
      </c>
      <c r="T123" s="30" t="str">
        <f t="shared" si="25"/>
        <v/>
      </c>
      <c r="U123" s="30" t="str">
        <f t="shared" si="26"/>
        <v/>
      </c>
      <c r="V123" s="30" t="str">
        <f t="shared" si="27"/>
        <v/>
      </c>
      <c r="W123" s="30" t="str">
        <f t="shared" si="29"/>
        <v/>
      </c>
      <c r="X123" s="31" t="str">
        <f t="shared" si="28"/>
        <v/>
      </c>
      <c r="Y123" s="30" t="str">
        <f t="shared" si="30"/>
        <v/>
      </c>
    </row>
    <row r="124" spans="1:25" x14ac:dyDescent="0.2">
      <c r="A124" s="2">
        <v>111</v>
      </c>
      <c r="B124" s="34">
        <f t="shared" si="31"/>
        <v>0</v>
      </c>
      <c r="C124" s="30" t="str">
        <f>IF(B124=0,"",IF('Imperial Data'!AG113&gt;=1, INDEX(Imperial_Incremental[], MATCH('Imperial Data'!AG113, Imperial_Incremental[Height], 1), MATCH('Cumulative Volumes Imperial'!$F$4, Imperial_Incremental[#Headers], 0)), 0))</f>
        <v/>
      </c>
      <c r="D124" s="30" t="str">
        <f>IF(B124=0,"",IF('Imperial Data'!AG113&gt;=1, INDEX(Imperial_Incremental[], MATCH('Imperial Data'!AG113, Imperial_Incremental[Height], 1), MATCH('Cumulative Volumes Imperial'!$F$4 &amp; "EC", Imperial_Incremental[#Headers], 0)), 0))</f>
        <v/>
      </c>
      <c r="E124" s="30" t="str">
        <f t="shared" si="16"/>
        <v/>
      </c>
      <c r="F124" s="30" t="str">
        <f t="shared" si="17"/>
        <v/>
      </c>
      <c r="G124" s="30" t="str">
        <f>IF(B124=0,"",IF('Cumulative Volumes Imperial'!$AQ$17=FALSE,I124,H124))</f>
        <v/>
      </c>
      <c r="H124" s="30" t="str">
        <f t="shared" si="18"/>
        <v/>
      </c>
      <c r="I124" s="30" t="str">
        <f t="shared" si="19"/>
        <v/>
      </c>
      <c r="J124" s="30" t="str">
        <f>IF(B124="","",IF('Cumulative Volumes Imperial'!$AQ$17=FALSE,L124,K124))</f>
        <v/>
      </c>
      <c r="K124" s="30" t="str">
        <f t="shared" si="20"/>
        <v/>
      </c>
      <c r="L124" s="30" t="str">
        <f t="shared" si="21"/>
        <v/>
      </c>
      <c r="M124" s="30" t="str">
        <f>IF($E$8+45+$E$9&gt;989,"FALSE",IF(B124="","",IF('Cumulative Volumes Imperial'!$AQ$17=FALSE,O124,N124)))</f>
        <v/>
      </c>
      <c r="N124" s="30" t="str">
        <f t="shared" si="22"/>
        <v/>
      </c>
      <c r="O124" s="30" t="str">
        <f>IF(B124=0,"",IF('Cumulative Volumes Imperial'!$AQ$17=FALSE,(V124*$E$4)+(W124*$E$5),N124))</f>
        <v/>
      </c>
      <c r="P124" s="30" t="str">
        <f>IF(B124=0,"",(((1/12)*'Imperial Data'!$AC$4*'Imperial Data'!$AC$5)-C124)*$H$6)</f>
        <v/>
      </c>
      <c r="Q124" s="30" t="str">
        <f t="shared" si="23"/>
        <v/>
      </c>
      <c r="R124" s="30" t="str">
        <f>IF(B124=0,"",(((1/12)*'Imperial Data'!$AC$5*'Imperial Data'!$AC$7)-D124)*$H$6)</f>
        <v/>
      </c>
      <c r="S124" s="30" t="str">
        <f t="shared" si="24"/>
        <v/>
      </c>
      <c r="T124" s="30" t="str">
        <f t="shared" si="25"/>
        <v/>
      </c>
      <c r="U124" s="30" t="str">
        <f t="shared" si="26"/>
        <v/>
      </c>
      <c r="V124" s="30" t="str">
        <f t="shared" si="27"/>
        <v/>
      </c>
      <c r="W124" s="30" t="str">
        <f t="shared" si="29"/>
        <v/>
      </c>
      <c r="X124" s="31" t="str">
        <f t="shared" si="28"/>
        <v/>
      </c>
      <c r="Y124" s="30" t="str">
        <f t="shared" si="30"/>
        <v/>
      </c>
    </row>
    <row r="125" spans="1:25" x14ac:dyDescent="0.2">
      <c r="A125" s="2">
        <v>112</v>
      </c>
      <c r="B125" s="34">
        <f t="shared" si="31"/>
        <v>0</v>
      </c>
      <c r="C125" s="30" t="str">
        <f>IF(B125=0,"",IF('Imperial Data'!AG114&gt;=1, INDEX(Imperial_Incremental[], MATCH('Imperial Data'!AG114, Imperial_Incremental[Height], 1), MATCH('Cumulative Volumes Imperial'!$F$4, Imperial_Incremental[#Headers], 0)), 0))</f>
        <v/>
      </c>
      <c r="D125" s="30" t="str">
        <f>IF(B125=0,"",IF('Imperial Data'!AG114&gt;=1, INDEX(Imperial_Incremental[], MATCH('Imperial Data'!AG114, Imperial_Incremental[Height], 1), MATCH('Cumulative Volumes Imperial'!$F$4 &amp; "EC", Imperial_Incremental[#Headers], 0)), 0))</f>
        <v/>
      </c>
      <c r="E125" s="30" t="str">
        <f t="shared" si="16"/>
        <v/>
      </c>
      <c r="F125" s="30" t="str">
        <f t="shared" si="17"/>
        <v/>
      </c>
      <c r="G125" s="30" t="str">
        <f>IF(B125=0,"",IF('Cumulative Volumes Imperial'!$AQ$17=FALSE,I125,H125))</f>
        <v/>
      </c>
      <c r="H125" s="30" t="str">
        <f t="shared" si="18"/>
        <v/>
      </c>
      <c r="I125" s="30" t="str">
        <f t="shared" si="19"/>
        <v/>
      </c>
      <c r="J125" s="30" t="str">
        <f>IF(B125="","",IF('Cumulative Volumes Imperial'!$AQ$17=FALSE,L125,K125))</f>
        <v/>
      </c>
      <c r="K125" s="30" t="str">
        <f t="shared" si="20"/>
        <v/>
      </c>
      <c r="L125" s="30" t="str">
        <f t="shared" si="21"/>
        <v/>
      </c>
      <c r="M125" s="30" t="str">
        <f>IF($E$8+45+$E$9&gt;989,"FALSE",IF(B125="","",IF('Cumulative Volumes Imperial'!$AQ$17=FALSE,O125,N125)))</f>
        <v/>
      </c>
      <c r="N125" s="30" t="str">
        <f t="shared" si="22"/>
        <v/>
      </c>
      <c r="O125" s="30" t="str">
        <f>IF(B125=0,"",IF('Cumulative Volumes Imperial'!$AQ$17=FALSE,(V125*$E$4)+(W125*$E$5),N125))</f>
        <v/>
      </c>
      <c r="P125" s="30" t="str">
        <f>IF(B125=0,"",(((1/12)*'Imperial Data'!$AC$4*'Imperial Data'!$AC$5)-C125)*$H$6)</f>
        <v/>
      </c>
      <c r="Q125" s="30" t="str">
        <f t="shared" si="23"/>
        <v/>
      </c>
      <c r="R125" s="30" t="str">
        <f>IF(B125=0,"",(((1/12)*'Imperial Data'!$AC$5*'Imperial Data'!$AC$7)-D125)*$H$6)</f>
        <v/>
      </c>
      <c r="S125" s="30" t="str">
        <f t="shared" si="24"/>
        <v/>
      </c>
      <c r="T125" s="30" t="str">
        <f t="shared" si="25"/>
        <v/>
      </c>
      <c r="U125" s="30" t="str">
        <f t="shared" si="26"/>
        <v/>
      </c>
      <c r="V125" s="30" t="str">
        <f t="shared" si="27"/>
        <v/>
      </c>
      <c r="W125" s="30" t="str">
        <f t="shared" si="29"/>
        <v/>
      </c>
      <c r="X125" s="31" t="str">
        <f t="shared" si="28"/>
        <v/>
      </c>
      <c r="Y125" s="30" t="str">
        <f t="shared" si="30"/>
        <v/>
      </c>
    </row>
    <row r="126" spans="1:25" x14ac:dyDescent="0.2">
      <c r="A126" s="2">
        <v>113</v>
      </c>
      <c r="B126" s="34">
        <f t="shared" si="31"/>
        <v>0</v>
      </c>
      <c r="C126" s="30" t="str">
        <f>IF(B126=0,"",IF('Imperial Data'!AG115&gt;=1, INDEX(Imperial_Incremental[], MATCH('Imperial Data'!AG115, Imperial_Incremental[Height], 1), MATCH('Cumulative Volumes Imperial'!$F$4, Imperial_Incremental[#Headers], 0)), 0))</f>
        <v/>
      </c>
      <c r="D126" s="30" t="str">
        <f>IF(B126=0,"",IF('Imperial Data'!AG115&gt;=1, INDEX(Imperial_Incremental[], MATCH('Imperial Data'!AG115, Imperial_Incremental[Height], 1), MATCH('Cumulative Volumes Imperial'!$F$4 &amp; "EC", Imperial_Incremental[#Headers], 0)), 0))</f>
        <v/>
      </c>
      <c r="E126" s="30" t="str">
        <f t="shared" si="16"/>
        <v/>
      </c>
      <c r="F126" s="30" t="str">
        <f t="shared" si="17"/>
        <v/>
      </c>
      <c r="G126" s="30" t="str">
        <f>IF(B126=0,"",IF('Cumulative Volumes Imperial'!$AQ$17=FALSE,I126,H126))</f>
        <v/>
      </c>
      <c r="H126" s="30" t="str">
        <f t="shared" si="18"/>
        <v/>
      </c>
      <c r="I126" s="30" t="str">
        <f t="shared" si="19"/>
        <v/>
      </c>
      <c r="J126" s="30" t="str">
        <f>IF(B126="","",IF('Cumulative Volumes Imperial'!$AQ$17=FALSE,L126,K126))</f>
        <v/>
      </c>
      <c r="K126" s="30" t="str">
        <f t="shared" si="20"/>
        <v/>
      </c>
      <c r="L126" s="30" t="str">
        <f t="shared" si="21"/>
        <v/>
      </c>
      <c r="M126" s="30" t="str">
        <f>IF($E$8+45+$E$9&gt;989,"FALSE",IF(B126="","",IF('Cumulative Volumes Imperial'!$AQ$17=FALSE,O126,N126)))</f>
        <v/>
      </c>
      <c r="N126" s="30" t="str">
        <f t="shared" si="22"/>
        <v/>
      </c>
      <c r="O126" s="30" t="str">
        <f>IF(B126=0,"",IF('Cumulative Volumes Imperial'!$AQ$17=FALSE,(V126*$E$4)+(W126*$E$5),N126))</f>
        <v/>
      </c>
      <c r="P126" s="30" t="str">
        <f>IF(B126=0,"",(((1/12)*'Imperial Data'!$AC$4*'Imperial Data'!$AC$5)-C126)*$H$6)</f>
        <v/>
      </c>
      <c r="Q126" s="30" t="str">
        <f t="shared" si="23"/>
        <v/>
      </c>
      <c r="R126" s="30" t="str">
        <f>IF(B126=0,"",(((1/12)*'Imperial Data'!$AC$5*'Imperial Data'!$AC$7)-D126)*$H$6)</f>
        <v/>
      </c>
      <c r="S126" s="30" t="str">
        <f t="shared" si="24"/>
        <v/>
      </c>
      <c r="T126" s="30" t="str">
        <f t="shared" si="25"/>
        <v/>
      </c>
      <c r="U126" s="30" t="str">
        <f t="shared" si="26"/>
        <v/>
      </c>
      <c r="V126" s="30" t="str">
        <f t="shared" si="27"/>
        <v/>
      </c>
      <c r="W126" s="30" t="str">
        <f t="shared" si="29"/>
        <v/>
      </c>
      <c r="X126" s="31" t="str">
        <f t="shared" si="28"/>
        <v/>
      </c>
      <c r="Y126" s="30" t="str">
        <f t="shared" si="30"/>
        <v/>
      </c>
    </row>
    <row r="127" spans="1:25" x14ac:dyDescent="0.2">
      <c r="A127" s="2">
        <v>114</v>
      </c>
      <c r="B127" s="34">
        <f t="shared" si="31"/>
        <v>0</v>
      </c>
      <c r="C127" s="30" t="str">
        <f>IF(B127=0,"",IF('Imperial Data'!AG116&gt;=1, INDEX(Imperial_Incremental[], MATCH('Imperial Data'!AG116, Imperial_Incremental[Height], 1), MATCH('Cumulative Volumes Imperial'!$F$4, Imperial_Incremental[#Headers], 0)), 0))</f>
        <v/>
      </c>
      <c r="D127" s="30" t="str">
        <f>IF(B127=0,"",IF('Imperial Data'!AG116&gt;=1, INDEX(Imperial_Incremental[], MATCH('Imperial Data'!AG116, Imperial_Incremental[Height], 1), MATCH('Cumulative Volumes Imperial'!$F$4 &amp; "EC", Imperial_Incremental[#Headers], 0)), 0))</f>
        <v/>
      </c>
      <c r="E127" s="30" t="str">
        <f t="shared" si="16"/>
        <v/>
      </c>
      <c r="F127" s="30" t="str">
        <f t="shared" si="17"/>
        <v/>
      </c>
      <c r="G127" s="30" t="str">
        <f>IF(B127=0,"",IF('Cumulative Volumes Imperial'!$AQ$17=FALSE,I127,H127))</f>
        <v/>
      </c>
      <c r="H127" s="30" t="str">
        <f t="shared" si="18"/>
        <v/>
      </c>
      <c r="I127" s="30" t="str">
        <f t="shared" si="19"/>
        <v/>
      </c>
      <c r="J127" s="30" t="str">
        <f>IF(B127="","",IF('Cumulative Volumes Imperial'!$AQ$17=FALSE,L127,K127))</f>
        <v/>
      </c>
      <c r="K127" s="30" t="str">
        <f t="shared" si="20"/>
        <v/>
      </c>
      <c r="L127" s="30" t="str">
        <f t="shared" si="21"/>
        <v/>
      </c>
      <c r="M127" s="30" t="str">
        <f>IF($E$8+45+$E$9&gt;989,"FALSE",IF(B127="","",IF('Cumulative Volumes Imperial'!$AQ$17=FALSE,O127,N127)))</f>
        <v/>
      </c>
      <c r="N127" s="30" t="str">
        <f t="shared" si="22"/>
        <v/>
      </c>
      <c r="O127" s="30" t="str">
        <f>IF(B127=0,"",IF('Cumulative Volumes Imperial'!$AQ$17=FALSE,(V127*$E$4)+(W127*$E$5),N127))</f>
        <v/>
      </c>
      <c r="P127" s="30" t="str">
        <f>IF(B127=0,"",(((1/12)*'Imperial Data'!$AC$4*'Imperial Data'!$AC$5)-C127)*$H$6)</f>
        <v/>
      </c>
      <c r="Q127" s="30" t="str">
        <f t="shared" si="23"/>
        <v/>
      </c>
      <c r="R127" s="30" t="str">
        <f>IF(B127=0,"",(((1/12)*'Imperial Data'!$AC$5*'Imperial Data'!$AC$7)-D127)*$H$6)</f>
        <v/>
      </c>
      <c r="S127" s="30" t="str">
        <f t="shared" si="24"/>
        <v/>
      </c>
      <c r="T127" s="30" t="str">
        <f t="shared" si="25"/>
        <v/>
      </c>
      <c r="U127" s="30" t="str">
        <f t="shared" si="26"/>
        <v/>
      </c>
      <c r="V127" s="30" t="str">
        <f t="shared" si="27"/>
        <v/>
      </c>
      <c r="W127" s="30" t="str">
        <f t="shared" si="29"/>
        <v/>
      </c>
      <c r="X127" s="31" t="str">
        <f t="shared" si="28"/>
        <v/>
      </c>
      <c r="Y127" s="30" t="str">
        <f t="shared" si="30"/>
        <v/>
      </c>
    </row>
    <row r="128" spans="1:25" x14ac:dyDescent="0.2">
      <c r="A128" s="2">
        <v>115</v>
      </c>
      <c r="B128" s="34">
        <f t="shared" si="31"/>
        <v>0</v>
      </c>
      <c r="C128" s="30" t="str">
        <f>IF(B128=0,"",IF('Imperial Data'!AG117&gt;=1, INDEX(Imperial_Incremental[], MATCH('Imperial Data'!AG117, Imperial_Incremental[Height], 1), MATCH('Cumulative Volumes Imperial'!$F$4, Imperial_Incremental[#Headers], 0)), 0))</f>
        <v/>
      </c>
      <c r="D128" s="30" t="str">
        <f>IF(B128=0,"",IF('Imperial Data'!AG117&gt;=1, INDEX(Imperial_Incremental[], MATCH('Imperial Data'!AG117, Imperial_Incremental[Height], 1), MATCH('Cumulative Volumes Imperial'!$F$4 &amp; "EC", Imperial_Incremental[#Headers], 0)), 0))</f>
        <v/>
      </c>
      <c r="E128" s="30" t="str">
        <f t="shared" si="16"/>
        <v/>
      </c>
      <c r="F128" s="30" t="str">
        <f t="shared" si="17"/>
        <v/>
      </c>
      <c r="G128" s="30" t="str">
        <f>IF(B128=0,"",IF('Cumulative Volumes Imperial'!$AQ$17=FALSE,I128,H128))</f>
        <v/>
      </c>
      <c r="H128" s="30" t="str">
        <f t="shared" si="18"/>
        <v/>
      </c>
      <c r="I128" s="30" t="str">
        <f t="shared" si="19"/>
        <v/>
      </c>
      <c r="J128" s="30" t="str">
        <f>IF(B128="","",IF('Cumulative Volumes Imperial'!$AQ$17=FALSE,L128,K128))</f>
        <v/>
      </c>
      <c r="K128" s="30" t="str">
        <f t="shared" si="20"/>
        <v/>
      </c>
      <c r="L128" s="30" t="str">
        <f t="shared" si="21"/>
        <v/>
      </c>
      <c r="M128" s="30" t="str">
        <f>IF($E$8+45+$E$9&gt;989,"FALSE",IF(B128="","",IF('Cumulative Volumes Imperial'!$AQ$17=FALSE,O128,N128)))</f>
        <v/>
      </c>
      <c r="N128" s="30" t="str">
        <f t="shared" si="22"/>
        <v/>
      </c>
      <c r="O128" s="30" t="str">
        <f>IF(B128=0,"",IF('Cumulative Volumes Imperial'!$AQ$17=FALSE,(V128*$E$4)+(W128*$E$5),N128))</f>
        <v/>
      </c>
      <c r="P128" s="30" t="str">
        <f>IF(B128=0,"",(((1/12)*'Imperial Data'!$AC$4*'Imperial Data'!$AC$5)-C128)*$H$6)</f>
        <v/>
      </c>
      <c r="Q128" s="30" t="str">
        <f t="shared" si="23"/>
        <v/>
      </c>
      <c r="R128" s="30" t="str">
        <f>IF(B128=0,"",(((1/12)*'Imperial Data'!$AC$5*'Imperial Data'!$AC$7)-D128)*$H$6)</f>
        <v/>
      </c>
      <c r="S128" s="30" t="str">
        <f t="shared" si="24"/>
        <v/>
      </c>
      <c r="T128" s="30" t="str">
        <f t="shared" si="25"/>
        <v/>
      </c>
      <c r="U128" s="30" t="str">
        <f t="shared" si="26"/>
        <v/>
      </c>
      <c r="V128" s="30" t="str">
        <f t="shared" si="27"/>
        <v/>
      </c>
      <c r="W128" s="30" t="str">
        <f t="shared" si="29"/>
        <v/>
      </c>
      <c r="X128" s="31" t="str">
        <f t="shared" si="28"/>
        <v/>
      </c>
      <c r="Y128" s="30" t="str">
        <f t="shared" si="30"/>
        <v/>
      </c>
    </row>
    <row r="129" spans="1:25" x14ac:dyDescent="0.2">
      <c r="A129" s="2">
        <v>116</v>
      </c>
      <c r="B129" s="34">
        <f t="shared" si="31"/>
        <v>0</v>
      </c>
      <c r="C129" s="30" t="str">
        <f>IF(B129=0,"",IF('Imperial Data'!AG118&gt;=1, INDEX(Imperial_Incremental[], MATCH('Imperial Data'!AG118, Imperial_Incremental[Height], 1), MATCH('Cumulative Volumes Imperial'!$F$4, Imperial_Incremental[#Headers], 0)), 0))</f>
        <v/>
      </c>
      <c r="D129" s="30" t="str">
        <f>IF(B129=0,"",IF('Imperial Data'!AG118&gt;=1, INDEX(Imperial_Incremental[], MATCH('Imperial Data'!AG118, Imperial_Incremental[Height], 1), MATCH('Cumulative Volumes Imperial'!$F$4 &amp; "EC", Imperial_Incremental[#Headers], 0)), 0))</f>
        <v/>
      </c>
      <c r="E129" s="30" t="str">
        <f t="shared" si="16"/>
        <v/>
      </c>
      <c r="F129" s="30" t="str">
        <f t="shared" si="17"/>
        <v/>
      </c>
      <c r="G129" s="30" t="str">
        <f>IF(B129=0,"",IF('Cumulative Volumes Imperial'!$AQ$17=FALSE,I129,H129))</f>
        <v/>
      </c>
      <c r="H129" s="30" t="str">
        <f t="shared" si="18"/>
        <v/>
      </c>
      <c r="I129" s="30" t="str">
        <f t="shared" si="19"/>
        <v/>
      </c>
      <c r="J129" s="30" t="str">
        <f>IF(B129="","",IF('Cumulative Volumes Imperial'!$AQ$17=FALSE,L129,K129))</f>
        <v/>
      </c>
      <c r="K129" s="30" t="str">
        <f t="shared" si="20"/>
        <v/>
      </c>
      <c r="L129" s="30" t="str">
        <f t="shared" si="21"/>
        <v/>
      </c>
      <c r="M129" s="30" t="str">
        <f>IF($E$8+45+$E$9&gt;989,"FALSE",IF(B129="","",IF('Cumulative Volumes Imperial'!$AQ$17=FALSE,O129,N129)))</f>
        <v/>
      </c>
      <c r="N129" s="30" t="str">
        <f t="shared" si="22"/>
        <v/>
      </c>
      <c r="O129" s="30" t="str">
        <f>IF(B129=0,"",IF('Cumulative Volumes Imperial'!$AQ$17=FALSE,(V129*$E$4)+(W129*$E$5),N129))</f>
        <v/>
      </c>
      <c r="P129" s="30" t="str">
        <f>IF(B129=0,"",(((1/12)*'Imperial Data'!$AC$4*'Imperial Data'!$AC$5)-C129)*$H$6)</f>
        <v/>
      </c>
      <c r="Q129" s="30" t="str">
        <f t="shared" si="23"/>
        <v/>
      </c>
      <c r="R129" s="30" t="str">
        <f>IF(B129=0,"",(((1/12)*'Imperial Data'!$AC$5*'Imperial Data'!$AC$7)-D129)*$H$6)</f>
        <v/>
      </c>
      <c r="S129" s="30" t="str">
        <f t="shared" si="24"/>
        <v/>
      </c>
      <c r="T129" s="30" t="str">
        <f t="shared" si="25"/>
        <v/>
      </c>
      <c r="U129" s="30" t="str">
        <f t="shared" si="26"/>
        <v/>
      </c>
      <c r="V129" s="30" t="str">
        <f t="shared" si="27"/>
        <v/>
      </c>
      <c r="W129" s="30" t="str">
        <f t="shared" si="29"/>
        <v/>
      </c>
      <c r="X129" s="31" t="str">
        <f t="shared" si="28"/>
        <v/>
      </c>
      <c r="Y129" s="30" t="str">
        <f t="shared" si="30"/>
        <v/>
      </c>
    </row>
    <row r="130" spans="1:25" x14ac:dyDescent="0.2">
      <c r="A130" s="2">
        <v>117</v>
      </c>
      <c r="B130" s="34">
        <f t="shared" si="31"/>
        <v>0</v>
      </c>
      <c r="C130" s="30" t="str">
        <f>IF(B130=0,"",IF('Imperial Data'!AG119&gt;=1, INDEX(Imperial_Incremental[], MATCH('Imperial Data'!AG119, Imperial_Incremental[Height], 1), MATCH('Cumulative Volumes Imperial'!$F$4, Imperial_Incremental[#Headers], 0)), 0))</f>
        <v/>
      </c>
      <c r="D130" s="30" t="str">
        <f>IF(B130=0,"",IF('Imperial Data'!AG119&gt;=1, INDEX(Imperial_Incremental[], MATCH('Imperial Data'!AG119, Imperial_Incremental[Height], 1), MATCH('Cumulative Volumes Imperial'!$F$4 &amp; "EC", Imperial_Incremental[#Headers], 0)), 0))</f>
        <v/>
      </c>
      <c r="E130" s="30" t="str">
        <f t="shared" si="16"/>
        <v/>
      </c>
      <c r="F130" s="30" t="str">
        <f t="shared" si="17"/>
        <v/>
      </c>
      <c r="G130" s="30" t="str">
        <f>IF(B130=0,"",IF('Cumulative Volumes Imperial'!$AQ$17=FALSE,I130,H130))</f>
        <v/>
      </c>
      <c r="H130" s="30" t="str">
        <f t="shared" si="18"/>
        <v/>
      </c>
      <c r="I130" s="30" t="str">
        <f t="shared" si="19"/>
        <v/>
      </c>
      <c r="J130" s="30" t="str">
        <f>IF(B130="","",IF('Cumulative Volumes Imperial'!$AQ$17=FALSE,L130,K130))</f>
        <v/>
      </c>
      <c r="K130" s="30" t="str">
        <f t="shared" si="20"/>
        <v/>
      </c>
      <c r="L130" s="30" t="str">
        <f t="shared" si="21"/>
        <v/>
      </c>
      <c r="M130" s="30" t="str">
        <f>IF($E$8+45+$E$9&gt;989,"FALSE",IF(B130="","",IF('Cumulative Volumes Imperial'!$AQ$17=FALSE,O130,N130)))</f>
        <v/>
      </c>
      <c r="N130" s="30" t="str">
        <f t="shared" si="22"/>
        <v/>
      </c>
      <c r="O130" s="30" t="str">
        <f>IF(B130=0,"",IF('Cumulative Volumes Imperial'!$AQ$17=FALSE,(V130*$E$4)+(W130*$E$5),N130))</f>
        <v/>
      </c>
      <c r="P130" s="30" t="str">
        <f>IF(B130=0,"",(((1/12)*'Imperial Data'!$AC$4*'Imperial Data'!$AC$5)-C130)*$H$6)</f>
        <v/>
      </c>
      <c r="Q130" s="30" t="str">
        <f t="shared" si="23"/>
        <v/>
      </c>
      <c r="R130" s="30" t="str">
        <f>IF(B130=0,"",(((1/12)*'Imperial Data'!$AC$5*'Imperial Data'!$AC$7)-D130)*$H$6)</f>
        <v/>
      </c>
      <c r="S130" s="30" t="str">
        <f t="shared" si="24"/>
        <v/>
      </c>
      <c r="T130" s="30" t="str">
        <f t="shared" si="25"/>
        <v/>
      </c>
      <c r="U130" s="30" t="str">
        <f t="shared" si="26"/>
        <v/>
      </c>
      <c r="V130" s="30" t="str">
        <f t="shared" si="27"/>
        <v/>
      </c>
      <c r="W130" s="30" t="str">
        <f t="shared" si="29"/>
        <v/>
      </c>
      <c r="X130" s="31" t="str">
        <f t="shared" si="28"/>
        <v/>
      </c>
      <c r="Y130" s="30" t="str">
        <f t="shared" si="30"/>
        <v/>
      </c>
    </row>
    <row r="131" spans="1:25" x14ac:dyDescent="0.2">
      <c r="A131" s="2">
        <v>118</v>
      </c>
      <c r="B131" s="34">
        <f t="shared" si="31"/>
        <v>0</v>
      </c>
      <c r="C131" s="30" t="str">
        <f>IF(B131=0,"",IF('Imperial Data'!AG120&gt;=1, INDEX(Imperial_Incremental[], MATCH('Imperial Data'!AG120, Imperial_Incremental[Height], 1), MATCH('Cumulative Volumes Imperial'!$F$4, Imperial_Incremental[#Headers], 0)), 0))</f>
        <v/>
      </c>
      <c r="D131" s="30" t="str">
        <f>IF(B131=0,"",IF('Imperial Data'!AG120&gt;=1, INDEX(Imperial_Incremental[], MATCH('Imperial Data'!AG120, Imperial_Incremental[Height], 1), MATCH('Cumulative Volumes Imperial'!$F$4 &amp; "EC", Imperial_Incremental[#Headers], 0)), 0))</f>
        <v/>
      </c>
      <c r="E131" s="30" t="str">
        <f t="shared" si="16"/>
        <v/>
      </c>
      <c r="F131" s="30" t="str">
        <f t="shared" si="17"/>
        <v/>
      </c>
      <c r="G131" s="30" t="str">
        <f>IF(B131=0,"",IF('Cumulative Volumes Imperial'!$AQ$17=FALSE,I131,H131))</f>
        <v/>
      </c>
      <c r="H131" s="30" t="str">
        <f t="shared" si="18"/>
        <v/>
      </c>
      <c r="I131" s="30" t="str">
        <f t="shared" si="19"/>
        <v/>
      </c>
      <c r="J131" s="30" t="str">
        <f>IF(B131="","",IF('Cumulative Volumes Imperial'!$AQ$17=FALSE,L131,K131))</f>
        <v/>
      </c>
      <c r="K131" s="30" t="str">
        <f t="shared" si="20"/>
        <v/>
      </c>
      <c r="L131" s="30" t="str">
        <f t="shared" si="21"/>
        <v/>
      </c>
      <c r="M131" s="30" t="str">
        <f>IF($E$8+45+$E$9&gt;989,"FALSE",IF(B131="","",IF('Cumulative Volumes Imperial'!$AQ$17=FALSE,O131,N131)))</f>
        <v/>
      </c>
      <c r="N131" s="30" t="str">
        <f t="shared" si="22"/>
        <v/>
      </c>
      <c r="O131" s="30" t="str">
        <f>IF(B131=0,"",IF('Cumulative Volumes Imperial'!$AQ$17=FALSE,(V131*$E$4)+(W131*$E$5),N131))</f>
        <v/>
      </c>
      <c r="P131" s="30" t="str">
        <f>IF(B131=0,"",(((1/12)*'Imperial Data'!$AC$4*'Imperial Data'!$AC$5)-C131)*$H$6)</f>
        <v/>
      </c>
      <c r="Q131" s="30" t="str">
        <f t="shared" si="23"/>
        <v/>
      </c>
      <c r="R131" s="30" t="str">
        <f>IF(B131=0,"",(((1/12)*'Imperial Data'!$AC$5*'Imperial Data'!$AC$7)-D131)*$H$6)</f>
        <v/>
      </c>
      <c r="S131" s="30" t="str">
        <f t="shared" si="24"/>
        <v/>
      </c>
      <c r="T131" s="30" t="str">
        <f t="shared" si="25"/>
        <v/>
      </c>
      <c r="U131" s="30" t="str">
        <f t="shared" si="26"/>
        <v/>
      </c>
      <c r="V131" s="30" t="str">
        <f t="shared" si="27"/>
        <v/>
      </c>
      <c r="W131" s="30" t="str">
        <f t="shared" si="29"/>
        <v/>
      </c>
      <c r="X131" s="31" t="str">
        <f t="shared" si="28"/>
        <v/>
      </c>
      <c r="Y131" s="30" t="str">
        <f t="shared" si="30"/>
        <v/>
      </c>
    </row>
    <row r="132" spans="1:25" x14ac:dyDescent="0.2">
      <c r="A132" s="2">
        <v>119</v>
      </c>
      <c r="B132" s="34">
        <f t="shared" si="31"/>
        <v>0</v>
      </c>
      <c r="C132" s="30" t="str">
        <f>IF(B132=0,"",IF('Imperial Data'!AG121&gt;=1, INDEX(Imperial_Incremental[], MATCH('Imperial Data'!AG121, Imperial_Incremental[Height], 1), MATCH('Cumulative Volumes Imperial'!$F$4, Imperial_Incremental[#Headers], 0)), 0))</f>
        <v/>
      </c>
      <c r="D132" s="30" t="str">
        <f>IF(B132=0,"",IF('Imperial Data'!AG121&gt;=1, INDEX(Imperial_Incremental[], MATCH('Imperial Data'!AG121, Imperial_Incremental[Height], 1), MATCH('Cumulative Volumes Imperial'!$F$4 &amp; "EC", Imperial_Incremental[#Headers], 0)), 0))</f>
        <v/>
      </c>
      <c r="E132" s="30" t="str">
        <f t="shared" si="16"/>
        <v/>
      </c>
      <c r="F132" s="30" t="str">
        <f t="shared" si="17"/>
        <v/>
      </c>
      <c r="G132" s="30" t="str">
        <f>IF(B132=0,"",IF('Cumulative Volumes Imperial'!$AQ$17=FALSE,I132,H132))</f>
        <v/>
      </c>
      <c r="H132" s="30" t="str">
        <f t="shared" si="18"/>
        <v/>
      </c>
      <c r="I132" s="30" t="str">
        <f t="shared" si="19"/>
        <v/>
      </c>
      <c r="J132" s="30" t="str">
        <f>IF(B132="","",IF('Cumulative Volumes Imperial'!$AQ$17=FALSE,L132,K132))</f>
        <v/>
      </c>
      <c r="K132" s="30" t="str">
        <f t="shared" si="20"/>
        <v/>
      </c>
      <c r="L132" s="30" t="str">
        <f t="shared" si="21"/>
        <v/>
      </c>
      <c r="M132" s="30" t="str">
        <f>IF($E$8+45+$E$9&gt;989,"FALSE",IF(B132="","",IF('Cumulative Volumes Imperial'!$AQ$17=FALSE,O132,N132)))</f>
        <v/>
      </c>
      <c r="N132" s="30" t="str">
        <f t="shared" si="22"/>
        <v/>
      </c>
      <c r="O132" s="30" t="str">
        <f>IF(B132=0,"",IF('Cumulative Volumes Imperial'!$AQ$17=FALSE,(V132*$E$4)+(W132*$E$5),N132))</f>
        <v/>
      </c>
      <c r="P132" s="30" t="str">
        <f>IF(B132=0,"",(((1/12)*'Imperial Data'!$AC$4*'Imperial Data'!$AC$5)-C132)*$H$6)</f>
        <v/>
      </c>
      <c r="Q132" s="30" t="str">
        <f t="shared" si="23"/>
        <v/>
      </c>
      <c r="R132" s="30" t="str">
        <f>IF(B132=0,"",(((1/12)*'Imperial Data'!$AC$5*'Imperial Data'!$AC$7)-D132)*$H$6)</f>
        <v/>
      </c>
      <c r="S132" s="30" t="str">
        <f t="shared" si="24"/>
        <v/>
      </c>
      <c r="T132" s="30" t="str">
        <f t="shared" si="25"/>
        <v/>
      </c>
      <c r="U132" s="30" t="str">
        <f t="shared" si="26"/>
        <v/>
      </c>
      <c r="V132" s="30" t="str">
        <f t="shared" si="27"/>
        <v/>
      </c>
      <c r="W132" s="30" t="str">
        <f t="shared" si="29"/>
        <v/>
      </c>
      <c r="X132" s="31" t="str">
        <f t="shared" si="28"/>
        <v/>
      </c>
      <c r="Y132" s="30" t="str">
        <f t="shared" si="30"/>
        <v/>
      </c>
    </row>
    <row r="133" spans="1:25" x14ac:dyDescent="0.2">
      <c r="A133" s="2">
        <v>120</v>
      </c>
      <c r="B133" s="34">
        <f t="shared" si="31"/>
        <v>0</v>
      </c>
      <c r="C133" s="30" t="str">
        <f>IF(B133=0,"",IF('Imperial Data'!AG122&gt;=1, INDEX(Imperial_Incremental[], MATCH('Imperial Data'!AG122, Imperial_Incremental[Height], 1), MATCH('Cumulative Volumes Imperial'!$F$4, Imperial_Incremental[#Headers], 0)), 0))</f>
        <v/>
      </c>
      <c r="D133" s="30" t="str">
        <f>IF(B133=0,"",IF('Imperial Data'!AG122&gt;=1, INDEX(Imperial_Incremental[], MATCH('Imperial Data'!AG122, Imperial_Incremental[Height], 1), MATCH('Cumulative Volumes Imperial'!$F$4 &amp; "EC", Imperial_Incremental[#Headers], 0)), 0))</f>
        <v/>
      </c>
      <c r="E133" s="30" t="str">
        <f t="shared" si="16"/>
        <v/>
      </c>
      <c r="F133" s="30" t="str">
        <f t="shared" si="17"/>
        <v/>
      </c>
      <c r="G133" s="30" t="str">
        <f>IF(B133=0,"",IF('Cumulative Volumes Imperial'!$AQ$17=FALSE,I133,H133))</f>
        <v/>
      </c>
      <c r="H133" s="30" t="str">
        <f t="shared" si="18"/>
        <v/>
      </c>
      <c r="I133" s="30" t="str">
        <f t="shared" si="19"/>
        <v/>
      </c>
      <c r="J133" s="30" t="str">
        <f>IF(B133="","",IF('Cumulative Volumes Imperial'!$AQ$17=FALSE,L133,K133))</f>
        <v/>
      </c>
      <c r="K133" s="30" t="str">
        <f t="shared" si="20"/>
        <v/>
      </c>
      <c r="L133" s="30" t="str">
        <f t="shared" si="21"/>
        <v/>
      </c>
      <c r="M133" s="30" t="str">
        <f>IF($E$8+45+$E$9&gt;989,"FALSE",IF(B133="","",IF('Cumulative Volumes Imperial'!$AQ$17=FALSE,O133,N133)))</f>
        <v/>
      </c>
      <c r="N133" s="30" t="str">
        <f t="shared" si="22"/>
        <v/>
      </c>
      <c r="O133" s="30" t="str">
        <f>IF(B133=0,"",IF('Cumulative Volumes Imperial'!$AQ$17=FALSE,(V133*$E$4)+(W133*$E$5),N133))</f>
        <v/>
      </c>
      <c r="P133" s="30" t="str">
        <f>IF(B133=0,"",(((1/12)*'Imperial Data'!$AC$4*'Imperial Data'!$AC$5)-C133)*$H$6)</f>
        <v/>
      </c>
      <c r="Q133" s="30" t="str">
        <f t="shared" si="23"/>
        <v/>
      </c>
      <c r="R133" s="30" t="str">
        <f>IF(B133=0,"",(((1/12)*'Imperial Data'!$AC$5*'Imperial Data'!$AC$7)-D133)*$H$6)</f>
        <v/>
      </c>
      <c r="S133" s="30" t="str">
        <f t="shared" si="24"/>
        <v/>
      </c>
      <c r="T133" s="30" t="str">
        <f t="shared" si="25"/>
        <v/>
      </c>
      <c r="U133" s="30" t="str">
        <f t="shared" si="26"/>
        <v/>
      </c>
      <c r="V133" s="30" t="str">
        <f t="shared" si="27"/>
        <v/>
      </c>
      <c r="W133" s="30" t="str">
        <f t="shared" si="29"/>
        <v/>
      </c>
      <c r="X133" s="31" t="str">
        <f t="shared" si="28"/>
        <v/>
      </c>
      <c r="Y133" s="30" t="str">
        <f t="shared" si="30"/>
        <v/>
      </c>
    </row>
    <row r="134" spans="1:25" x14ac:dyDescent="0.2">
      <c r="A134" s="2">
        <v>121</v>
      </c>
      <c r="B134" s="34">
        <f t="shared" si="31"/>
        <v>0</v>
      </c>
      <c r="C134" s="30" t="str">
        <f>IF(B134=0,"",IF('Imperial Data'!AG123&gt;=1, INDEX(Imperial_Incremental[], MATCH('Imperial Data'!AG123, Imperial_Incremental[Height], 1), MATCH('Cumulative Volumes Imperial'!$F$4, Imperial_Incremental[#Headers], 0)), 0))</f>
        <v/>
      </c>
      <c r="D134" s="30" t="str">
        <f>IF(B134=0,"",IF('Imperial Data'!AG123&gt;=1, INDEX(Imperial_Incremental[], MATCH('Imperial Data'!AG123, Imperial_Incremental[Height], 1), MATCH('Cumulative Volumes Imperial'!$F$4 &amp; "EC", Imperial_Incremental[#Headers], 0)), 0))</f>
        <v/>
      </c>
      <c r="E134" s="30" t="str">
        <f t="shared" si="16"/>
        <v/>
      </c>
      <c r="F134" s="30" t="str">
        <f t="shared" si="17"/>
        <v/>
      </c>
      <c r="G134" s="30" t="str">
        <f>IF(B134=0,"",IF('Cumulative Volumes Imperial'!$AQ$17=FALSE,I134,H134))</f>
        <v/>
      </c>
      <c r="H134" s="30" t="str">
        <f t="shared" si="18"/>
        <v/>
      </c>
      <c r="I134" s="30" t="str">
        <f t="shared" si="19"/>
        <v/>
      </c>
      <c r="J134" s="30" t="str">
        <f>IF(B134="","",IF('Cumulative Volumes Imperial'!$AQ$17=FALSE,L134,K134))</f>
        <v/>
      </c>
      <c r="K134" s="30" t="str">
        <f t="shared" si="20"/>
        <v/>
      </c>
      <c r="L134" s="30" t="str">
        <f t="shared" si="21"/>
        <v/>
      </c>
      <c r="M134" s="30" t="str">
        <f>IF($E$8+45+$E$9&gt;989,"FALSE",IF(B134="","",IF('Cumulative Volumes Imperial'!$AQ$17=FALSE,O134,N134)))</f>
        <v/>
      </c>
      <c r="N134" s="30" t="str">
        <f t="shared" si="22"/>
        <v/>
      </c>
      <c r="O134" s="30" t="str">
        <f>IF(B134=0,"",IF('Cumulative Volumes Imperial'!$AQ$17=FALSE,(V134*$E$4)+(W134*$E$5),N134))</f>
        <v/>
      </c>
      <c r="P134" s="30" t="str">
        <f>IF(B134=0,"",(((1/12)*'Imperial Data'!$AC$4*'Imperial Data'!$AC$5)-C134)*$H$6)</f>
        <v/>
      </c>
      <c r="Q134" s="30" t="str">
        <f t="shared" si="23"/>
        <v/>
      </c>
      <c r="R134" s="30" t="str">
        <f>IF(B134=0,"",(((1/12)*'Imperial Data'!$AC$5*'Imperial Data'!$AC$7)-D134)*$H$6)</f>
        <v/>
      </c>
      <c r="S134" s="30" t="str">
        <f t="shared" si="24"/>
        <v/>
      </c>
      <c r="T134" s="30" t="str">
        <f t="shared" si="25"/>
        <v/>
      </c>
      <c r="U134" s="30" t="str">
        <f t="shared" si="26"/>
        <v/>
      </c>
      <c r="V134" s="30" t="str">
        <f t="shared" si="27"/>
        <v/>
      </c>
      <c r="W134" s="30" t="str">
        <f t="shared" si="29"/>
        <v/>
      </c>
      <c r="X134" s="31" t="str">
        <f t="shared" si="28"/>
        <v/>
      </c>
      <c r="Y134" s="30" t="str">
        <f t="shared" si="30"/>
        <v/>
      </c>
    </row>
    <row r="135" spans="1:25" x14ac:dyDescent="0.2">
      <c r="A135" s="2">
        <v>122</v>
      </c>
      <c r="B135" s="34">
        <f t="shared" si="31"/>
        <v>0</v>
      </c>
      <c r="C135" s="30" t="str">
        <f>IF(B135=0,"",IF('Imperial Data'!AG124&gt;=1, INDEX(Imperial_Incremental[], MATCH('Imperial Data'!AG124, Imperial_Incremental[Height], 1), MATCH('Cumulative Volumes Imperial'!$F$4, Imperial_Incremental[#Headers], 0)), 0))</f>
        <v/>
      </c>
      <c r="D135" s="30" t="str">
        <f>IF(B135=0,"",IF('Imperial Data'!AG124&gt;=1, INDEX(Imperial_Incremental[], MATCH('Imperial Data'!AG124, Imperial_Incremental[Height], 1), MATCH('Cumulative Volumes Imperial'!$F$4 &amp; "EC", Imperial_Incremental[#Headers], 0)), 0))</f>
        <v/>
      </c>
      <c r="E135" s="30" t="str">
        <f t="shared" si="16"/>
        <v/>
      </c>
      <c r="F135" s="30" t="str">
        <f t="shared" si="17"/>
        <v/>
      </c>
      <c r="G135" s="30" t="str">
        <f>IF(B135=0,"",IF('Cumulative Volumes Imperial'!$AQ$17=FALSE,I135,H135))</f>
        <v/>
      </c>
      <c r="H135" s="30" t="str">
        <f t="shared" si="18"/>
        <v/>
      </c>
      <c r="I135" s="30" t="str">
        <f t="shared" si="19"/>
        <v/>
      </c>
      <c r="J135" s="30" t="str">
        <f>IF(B135="","",IF('Cumulative Volumes Imperial'!$AQ$17=FALSE,L135,K135))</f>
        <v/>
      </c>
      <c r="K135" s="30" t="str">
        <f t="shared" si="20"/>
        <v/>
      </c>
      <c r="L135" s="30" t="str">
        <f t="shared" si="21"/>
        <v/>
      </c>
      <c r="M135" s="30" t="str">
        <f>IF($E$8+45+$E$9&gt;989,"FALSE",IF(B135="","",IF('Cumulative Volumes Imperial'!$AQ$17=FALSE,O135,N135)))</f>
        <v/>
      </c>
      <c r="N135" s="30" t="str">
        <f t="shared" si="22"/>
        <v/>
      </c>
      <c r="O135" s="30" t="str">
        <f>IF(B135=0,"",IF('Cumulative Volumes Imperial'!$AQ$17=FALSE,(V135*$E$4)+(W135*$E$5),N135))</f>
        <v/>
      </c>
      <c r="P135" s="30" t="str">
        <f>IF(B135=0,"",(((1/12)*'Imperial Data'!$AC$4*'Imperial Data'!$AC$5)-C135)*$H$6)</f>
        <v/>
      </c>
      <c r="Q135" s="30" t="str">
        <f t="shared" si="23"/>
        <v/>
      </c>
      <c r="R135" s="30" t="str">
        <f>IF(B135=0,"",(((1/12)*'Imperial Data'!$AC$5*'Imperial Data'!$AC$7)-D135)*$H$6)</f>
        <v/>
      </c>
      <c r="S135" s="30" t="str">
        <f t="shared" si="24"/>
        <v/>
      </c>
      <c r="T135" s="30" t="str">
        <f t="shared" si="25"/>
        <v/>
      </c>
      <c r="U135" s="30" t="str">
        <f t="shared" si="26"/>
        <v/>
      </c>
      <c r="V135" s="30" t="str">
        <f t="shared" si="27"/>
        <v/>
      </c>
      <c r="W135" s="30" t="str">
        <f t="shared" si="29"/>
        <v/>
      </c>
      <c r="X135" s="31" t="str">
        <f t="shared" si="28"/>
        <v/>
      </c>
      <c r="Y135" s="30" t="str">
        <f t="shared" si="30"/>
        <v/>
      </c>
    </row>
    <row r="136" spans="1:25" x14ac:dyDescent="0.2">
      <c r="A136" s="2">
        <v>123</v>
      </c>
      <c r="B136" s="34">
        <f t="shared" si="31"/>
        <v>0</v>
      </c>
      <c r="C136" s="30" t="str">
        <f>IF(B136=0,"",IF('Imperial Data'!AG125&gt;=1, INDEX(Imperial_Incremental[], MATCH('Imperial Data'!AG125, Imperial_Incremental[Height], 1), MATCH('Cumulative Volumes Imperial'!$F$4, Imperial_Incremental[#Headers], 0)), 0))</f>
        <v/>
      </c>
      <c r="D136" s="30" t="str">
        <f>IF(B136=0,"",IF('Imperial Data'!AG125&gt;=1, INDEX(Imperial_Incremental[], MATCH('Imperial Data'!AG125, Imperial_Incremental[Height], 1), MATCH('Cumulative Volumes Imperial'!$F$4 &amp; "EC", Imperial_Incremental[#Headers], 0)), 0))</f>
        <v/>
      </c>
      <c r="E136" s="30" t="str">
        <f t="shared" si="16"/>
        <v/>
      </c>
      <c r="F136" s="30" t="str">
        <f t="shared" si="17"/>
        <v/>
      </c>
      <c r="G136" s="30" t="str">
        <f>IF(B136=0,"",IF('Cumulative Volumes Imperial'!$AQ$17=FALSE,I136,H136))</f>
        <v/>
      </c>
      <c r="H136" s="30" t="str">
        <f t="shared" si="18"/>
        <v/>
      </c>
      <c r="I136" s="30" t="str">
        <f t="shared" si="19"/>
        <v/>
      </c>
      <c r="J136" s="30" t="str">
        <f>IF(B136="","",IF('Cumulative Volumes Imperial'!$AQ$17=FALSE,L136,K136))</f>
        <v/>
      </c>
      <c r="K136" s="30" t="str">
        <f t="shared" si="20"/>
        <v/>
      </c>
      <c r="L136" s="30" t="str">
        <f t="shared" si="21"/>
        <v/>
      </c>
      <c r="M136" s="30" t="str">
        <f>IF($E$8+45+$E$9&gt;989,"FALSE",IF(B136="","",IF('Cumulative Volumes Imperial'!$AQ$17=FALSE,O136,N136)))</f>
        <v/>
      </c>
      <c r="N136" s="30" t="str">
        <f t="shared" si="22"/>
        <v/>
      </c>
      <c r="O136" s="30" t="str">
        <f>IF(B136=0,"",IF('Cumulative Volumes Imperial'!$AQ$17=FALSE,(V136*$E$4)+(W136*$E$5),N136))</f>
        <v/>
      </c>
      <c r="P136" s="30" t="str">
        <f>IF(B136=0,"",(((1/12)*'Imperial Data'!$AC$4*'Imperial Data'!$AC$5)-C136)*$H$6)</f>
        <v/>
      </c>
      <c r="Q136" s="30" t="str">
        <f t="shared" si="23"/>
        <v/>
      </c>
      <c r="R136" s="30" t="str">
        <f>IF(B136=0,"",(((1/12)*'Imperial Data'!$AC$5*'Imperial Data'!$AC$7)-D136)*$H$6)</f>
        <v/>
      </c>
      <c r="S136" s="30" t="str">
        <f t="shared" si="24"/>
        <v/>
      </c>
      <c r="T136" s="30" t="str">
        <f t="shared" si="25"/>
        <v/>
      </c>
      <c r="U136" s="30" t="str">
        <f t="shared" si="26"/>
        <v/>
      </c>
      <c r="V136" s="30" t="str">
        <f t="shared" si="27"/>
        <v/>
      </c>
      <c r="W136" s="30" t="str">
        <f t="shared" si="29"/>
        <v/>
      </c>
      <c r="X136" s="31" t="str">
        <f t="shared" si="28"/>
        <v/>
      </c>
      <c r="Y136" s="30" t="str">
        <f t="shared" si="30"/>
        <v/>
      </c>
    </row>
    <row r="137" spans="1:25" x14ac:dyDescent="0.2">
      <c r="A137" s="2">
        <v>124</v>
      </c>
      <c r="B137" s="34">
        <f t="shared" si="31"/>
        <v>0</v>
      </c>
      <c r="C137" s="30" t="str">
        <f>IF(B137=0,"",IF('Imperial Data'!AG126&gt;=1, INDEX(Imperial_Incremental[], MATCH('Imperial Data'!AG126, Imperial_Incremental[Height], 1), MATCH('Cumulative Volumes Imperial'!$F$4, Imperial_Incremental[#Headers], 0)), 0))</f>
        <v/>
      </c>
      <c r="D137" s="30" t="str">
        <f>IF(B137=0,"",IF('Imperial Data'!AG126&gt;=1, INDEX(Imperial_Incremental[], MATCH('Imperial Data'!AG126, Imperial_Incremental[Height], 1), MATCH('Cumulative Volumes Imperial'!$F$4 &amp; "EC", Imperial_Incremental[#Headers], 0)), 0))</f>
        <v/>
      </c>
      <c r="E137" s="30" t="str">
        <f t="shared" si="16"/>
        <v/>
      </c>
      <c r="F137" s="30" t="str">
        <f t="shared" si="17"/>
        <v/>
      </c>
      <c r="G137" s="30" t="str">
        <f>IF(B137=0,"",IF('Cumulative Volumes Imperial'!$AQ$17=FALSE,I137,H137))</f>
        <v/>
      </c>
      <c r="H137" s="30" t="str">
        <f t="shared" si="18"/>
        <v/>
      </c>
      <c r="I137" s="30" t="str">
        <f t="shared" si="19"/>
        <v/>
      </c>
      <c r="J137" s="30" t="str">
        <f>IF(B137="","",IF('Cumulative Volumes Imperial'!$AQ$17=FALSE,L137,K137))</f>
        <v/>
      </c>
      <c r="K137" s="30" t="str">
        <f t="shared" si="20"/>
        <v/>
      </c>
      <c r="L137" s="30" t="str">
        <f t="shared" si="21"/>
        <v/>
      </c>
      <c r="M137" s="30" t="str">
        <f>IF($E$8+45+$E$9&gt;989,"FALSE",IF(B137="","",IF('Cumulative Volumes Imperial'!$AQ$17=FALSE,O137,N137)))</f>
        <v/>
      </c>
      <c r="N137" s="30" t="str">
        <f t="shared" si="22"/>
        <v/>
      </c>
      <c r="O137" s="30" t="str">
        <f>IF(B137=0,"",IF('Cumulative Volumes Imperial'!$AQ$17=FALSE,(V137*$E$4)+(W137*$E$5),N137))</f>
        <v/>
      </c>
      <c r="P137" s="30" t="str">
        <f>IF(B137=0,"",(((1/12)*'Imperial Data'!$AC$4*'Imperial Data'!$AC$5)-C137)*$H$6)</f>
        <v/>
      </c>
      <c r="Q137" s="30" t="str">
        <f t="shared" si="23"/>
        <v/>
      </c>
      <c r="R137" s="30" t="str">
        <f>IF(B137=0,"",(((1/12)*'Imperial Data'!$AC$5*'Imperial Data'!$AC$7)-D137)*$H$6)</f>
        <v/>
      </c>
      <c r="S137" s="30" t="str">
        <f t="shared" si="24"/>
        <v/>
      </c>
      <c r="T137" s="30" t="str">
        <f t="shared" si="25"/>
        <v/>
      </c>
      <c r="U137" s="30" t="str">
        <f t="shared" si="26"/>
        <v/>
      </c>
      <c r="V137" s="30" t="str">
        <f t="shared" si="27"/>
        <v/>
      </c>
      <c r="W137" s="30" t="str">
        <f t="shared" si="29"/>
        <v/>
      </c>
      <c r="X137" s="31" t="str">
        <f t="shared" si="28"/>
        <v/>
      </c>
      <c r="Y137" s="30" t="str">
        <f t="shared" si="30"/>
        <v/>
      </c>
    </row>
    <row r="138" spans="1:25" x14ac:dyDescent="0.2">
      <c r="A138" s="2">
        <v>125</v>
      </c>
      <c r="B138" s="34">
        <f t="shared" si="31"/>
        <v>0</v>
      </c>
      <c r="C138" s="30" t="str">
        <f>IF(B138=0,"",IF('Imperial Data'!AG127&gt;=1, INDEX(Imperial_Incremental[], MATCH('Imperial Data'!AG127, Imperial_Incremental[Height], 1), MATCH('Cumulative Volumes Imperial'!$F$4, Imperial_Incremental[#Headers], 0)), 0))</f>
        <v/>
      </c>
      <c r="D138" s="30" t="str">
        <f>IF(B138=0,"",IF('Imperial Data'!AG127&gt;=1, INDEX(Imperial_Incremental[], MATCH('Imperial Data'!AG127, Imperial_Incremental[Height], 1), MATCH('Cumulative Volumes Imperial'!$F$4 &amp; "EC", Imperial_Incremental[#Headers], 0)), 0))</f>
        <v/>
      </c>
      <c r="E138" s="30" t="str">
        <f t="shared" si="16"/>
        <v/>
      </c>
      <c r="F138" s="30" t="str">
        <f t="shared" si="17"/>
        <v/>
      </c>
      <c r="G138" s="30" t="str">
        <f>IF(B138=0,"",IF('Cumulative Volumes Imperial'!$AQ$17=FALSE,I138,H138))</f>
        <v/>
      </c>
      <c r="H138" s="30" t="str">
        <f t="shared" si="18"/>
        <v/>
      </c>
      <c r="I138" s="30" t="str">
        <f t="shared" si="19"/>
        <v/>
      </c>
      <c r="J138" s="30" t="str">
        <f>IF(B138="","",IF('Cumulative Volumes Imperial'!$AQ$17=FALSE,L138,K138))</f>
        <v/>
      </c>
      <c r="K138" s="30" t="str">
        <f t="shared" si="20"/>
        <v/>
      </c>
      <c r="L138" s="30" t="str">
        <f t="shared" si="21"/>
        <v/>
      </c>
      <c r="M138" s="30" t="str">
        <f>IF($E$8+45+$E$9&gt;989,"FALSE",IF(B138="","",IF('Cumulative Volumes Imperial'!$AQ$17=FALSE,O138,N138)))</f>
        <v/>
      </c>
      <c r="N138" s="30" t="str">
        <f t="shared" si="22"/>
        <v/>
      </c>
      <c r="O138" s="30" t="str">
        <f>IF(B138=0,"",IF('Cumulative Volumes Imperial'!$AQ$17=FALSE,(V138*$E$4)+(W138*$E$5),N138))</f>
        <v/>
      </c>
      <c r="P138" s="30" t="str">
        <f>IF(B138=0,"",(((1/12)*'Imperial Data'!$AC$4*'Imperial Data'!$AC$5)-C138)*$H$6)</f>
        <v/>
      </c>
      <c r="Q138" s="30" t="str">
        <f t="shared" si="23"/>
        <v/>
      </c>
      <c r="R138" s="30" t="str">
        <f>IF(B138=0,"",(((1/12)*'Imperial Data'!$AC$5*'Imperial Data'!$AC$7)-D138)*$H$6)</f>
        <v/>
      </c>
      <c r="S138" s="30" t="str">
        <f t="shared" si="24"/>
        <v/>
      </c>
      <c r="T138" s="30" t="str">
        <f t="shared" si="25"/>
        <v/>
      </c>
      <c r="U138" s="30" t="str">
        <f t="shared" si="26"/>
        <v/>
      </c>
      <c r="V138" s="30" t="str">
        <f t="shared" si="27"/>
        <v/>
      </c>
      <c r="W138" s="30" t="str">
        <f t="shared" si="29"/>
        <v/>
      </c>
      <c r="X138" s="31" t="str">
        <f t="shared" si="28"/>
        <v/>
      </c>
      <c r="Y138" s="30" t="str">
        <f t="shared" si="30"/>
        <v/>
      </c>
    </row>
    <row r="139" spans="1:25" x14ac:dyDescent="0.2">
      <c r="A139" s="2">
        <v>126</v>
      </c>
      <c r="B139" s="34">
        <f t="shared" si="31"/>
        <v>0</v>
      </c>
      <c r="C139" s="30" t="str">
        <f>IF(B139=0,"",IF('Imperial Data'!AG128&gt;=1, INDEX(Imperial_Incremental[], MATCH('Imperial Data'!AG128, Imperial_Incremental[Height], 1), MATCH('Cumulative Volumes Imperial'!$F$4, Imperial_Incremental[#Headers], 0)), 0))</f>
        <v/>
      </c>
      <c r="D139" s="30" t="str">
        <f>IF(B139=0,"",IF('Imperial Data'!AG128&gt;=1, INDEX(Imperial_Incremental[], MATCH('Imperial Data'!AG128, Imperial_Incremental[Height], 1), MATCH('Cumulative Volumes Imperial'!$F$4 &amp; "EC", Imperial_Incremental[#Headers], 0)), 0))</f>
        <v/>
      </c>
      <c r="E139" s="30" t="str">
        <f t="shared" si="16"/>
        <v/>
      </c>
      <c r="F139" s="30" t="str">
        <f t="shared" si="17"/>
        <v/>
      </c>
      <c r="G139" s="30" t="str">
        <f>IF(B139=0,"",IF('Cumulative Volumes Imperial'!$AQ$17=FALSE,I139,H139))</f>
        <v/>
      </c>
      <c r="H139" s="30" t="str">
        <f t="shared" si="18"/>
        <v/>
      </c>
      <c r="I139" s="30" t="str">
        <f t="shared" si="19"/>
        <v/>
      </c>
      <c r="J139" s="30" t="str">
        <f>IF(B139="","",IF('Cumulative Volumes Imperial'!$AQ$17=FALSE,L139,K139))</f>
        <v/>
      </c>
      <c r="K139" s="30" t="str">
        <f t="shared" si="20"/>
        <v/>
      </c>
      <c r="L139" s="30" t="str">
        <f t="shared" si="21"/>
        <v/>
      </c>
      <c r="M139" s="30" t="str">
        <f>IF($E$8+45+$E$9&gt;989,"FALSE",IF(B139="","",IF('Cumulative Volumes Imperial'!$AQ$17=FALSE,O139,N139)))</f>
        <v/>
      </c>
      <c r="N139" s="30" t="str">
        <f t="shared" si="22"/>
        <v/>
      </c>
      <c r="O139" s="30" t="str">
        <f>IF(B139=0,"",IF('Cumulative Volumes Imperial'!$AQ$17=FALSE,(V139*$E$4)+(W139*$E$5),N139))</f>
        <v/>
      </c>
      <c r="P139" s="30" t="str">
        <f>IF(B139=0,"",(((1/12)*'Imperial Data'!$AC$4*'Imperial Data'!$AC$5)-C139)*$H$6)</f>
        <v/>
      </c>
      <c r="Q139" s="30" t="str">
        <f t="shared" si="23"/>
        <v/>
      </c>
      <c r="R139" s="30" t="str">
        <f>IF(B139=0,"",(((1/12)*'Imperial Data'!$AC$5*'Imperial Data'!$AC$7)-D139)*$H$6)</f>
        <v/>
      </c>
      <c r="S139" s="30" t="str">
        <f t="shared" si="24"/>
        <v/>
      </c>
      <c r="T139" s="30" t="str">
        <f t="shared" si="25"/>
        <v/>
      </c>
      <c r="U139" s="30" t="str">
        <f t="shared" si="26"/>
        <v/>
      </c>
      <c r="V139" s="30" t="str">
        <f t="shared" si="27"/>
        <v/>
      </c>
      <c r="W139" s="30" t="str">
        <f t="shared" si="29"/>
        <v/>
      </c>
      <c r="X139" s="31" t="str">
        <f t="shared" si="28"/>
        <v/>
      </c>
      <c r="Y139" s="30" t="str">
        <f t="shared" si="30"/>
        <v/>
      </c>
    </row>
    <row r="140" spans="1:25" x14ac:dyDescent="0.2">
      <c r="A140" s="2">
        <v>127</v>
      </c>
      <c r="B140" s="34">
        <f t="shared" si="31"/>
        <v>0</v>
      </c>
      <c r="C140" s="30" t="str">
        <f>IF(B140=0,"",IF('Imperial Data'!AG129&gt;=1, INDEX(Imperial_Incremental[], MATCH('Imperial Data'!AG129, Imperial_Incremental[Height], 1), MATCH('Cumulative Volumes Imperial'!$F$4, Imperial_Incremental[#Headers], 0)), 0))</f>
        <v/>
      </c>
      <c r="D140" s="30" t="str">
        <f>IF(B140=0,"",IF('Imperial Data'!AG129&gt;=1, INDEX(Imperial_Incremental[], MATCH('Imperial Data'!AG129, Imperial_Incremental[Height], 1), MATCH('Cumulative Volumes Imperial'!$F$4 &amp; "EC", Imperial_Incremental[#Headers], 0)), 0))</f>
        <v/>
      </c>
      <c r="E140" s="30" t="str">
        <f t="shared" si="16"/>
        <v/>
      </c>
      <c r="F140" s="30" t="str">
        <f t="shared" si="17"/>
        <v/>
      </c>
      <c r="G140" s="30" t="str">
        <f>IF(B140=0,"",IF('Cumulative Volumes Imperial'!$AQ$17=FALSE,I140,H140))</f>
        <v/>
      </c>
      <c r="H140" s="30" t="str">
        <f t="shared" si="18"/>
        <v/>
      </c>
      <c r="I140" s="30" t="str">
        <f t="shared" si="19"/>
        <v/>
      </c>
      <c r="J140" s="30" t="str">
        <f>IF(B140="","",IF('Cumulative Volumes Imperial'!$AQ$17=FALSE,L140,K140))</f>
        <v/>
      </c>
      <c r="K140" s="30" t="str">
        <f t="shared" si="20"/>
        <v/>
      </c>
      <c r="L140" s="30" t="str">
        <f t="shared" si="21"/>
        <v/>
      </c>
      <c r="M140" s="30" t="str">
        <f>IF($E$8+45+$E$9&gt;989,"FALSE",IF(B140="","",IF('Cumulative Volumes Imperial'!$AQ$17=FALSE,O140,N140)))</f>
        <v/>
      </c>
      <c r="N140" s="30" t="str">
        <f t="shared" si="22"/>
        <v/>
      </c>
      <c r="O140" s="30" t="str">
        <f>IF(B140=0,"",IF('Cumulative Volumes Imperial'!$AQ$17=FALSE,(V140*$E$4)+(W140*$E$5),N140))</f>
        <v/>
      </c>
      <c r="P140" s="30" t="str">
        <f>IF(B140=0,"",(((1/12)*'Imperial Data'!$AC$4*'Imperial Data'!$AC$5)-C140)*$H$6)</f>
        <v/>
      </c>
      <c r="Q140" s="30" t="str">
        <f t="shared" si="23"/>
        <v/>
      </c>
      <c r="R140" s="30" t="str">
        <f>IF(B140=0,"",(((1/12)*'Imperial Data'!$AC$5*'Imperial Data'!$AC$7)-D140)*$H$6)</f>
        <v/>
      </c>
      <c r="S140" s="30" t="str">
        <f t="shared" si="24"/>
        <v/>
      </c>
      <c r="T140" s="30" t="str">
        <f t="shared" si="25"/>
        <v/>
      </c>
      <c r="U140" s="30" t="str">
        <f t="shared" si="26"/>
        <v/>
      </c>
      <c r="V140" s="30" t="str">
        <f t="shared" si="27"/>
        <v/>
      </c>
      <c r="W140" s="30" t="str">
        <f t="shared" si="29"/>
        <v/>
      </c>
      <c r="X140" s="31" t="str">
        <f t="shared" si="28"/>
        <v/>
      </c>
      <c r="Y140" s="30" t="str">
        <f t="shared" si="30"/>
        <v/>
      </c>
    </row>
    <row r="141" spans="1:25" x14ac:dyDescent="0.2">
      <c r="A141" s="2">
        <v>128</v>
      </c>
      <c r="B141" s="34">
        <f t="shared" si="31"/>
        <v>0</v>
      </c>
      <c r="C141" s="30" t="str">
        <f>IF(B141=0,"",IF('Imperial Data'!AG130&gt;=1, INDEX(Imperial_Incremental[], MATCH('Imperial Data'!AG130, Imperial_Incremental[Height], 1), MATCH('Cumulative Volumes Imperial'!$F$4, Imperial_Incremental[#Headers], 0)), 0))</f>
        <v/>
      </c>
      <c r="D141" s="30" t="str">
        <f>IF(B141=0,"",IF('Imperial Data'!AG130&gt;=1, INDEX(Imperial_Incremental[], MATCH('Imperial Data'!AG130, Imperial_Incremental[Height], 1), MATCH('Cumulative Volumes Imperial'!$F$4 &amp; "EC", Imperial_Incremental[#Headers], 0)), 0))</f>
        <v/>
      </c>
      <c r="E141" s="30" t="str">
        <f t="shared" si="16"/>
        <v/>
      </c>
      <c r="F141" s="30" t="str">
        <f t="shared" si="17"/>
        <v/>
      </c>
      <c r="G141" s="30" t="str">
        <f>IF(B141=0,"",IF('Cumulative Volumes Imperial'!$AQ$17=FALSE,I141,H141))</f>
        <v/>
      </c>
      <c r="H141" s="30" t="str">
        <f t="shared" si="18"/>
        <v/>
      </c>
      <c r="I141" s="30" t="str">
        <f t="shared" si="19"/>
        <v/>
      </c>
      <c r="J141" s="30" t="str">
        <f>IF(B141="","",IF('Cumulative Volumes Imperial'!$AQ$17=FALSE,L141,K141))</f>
        <v/>
      </c>
      <c r="K141" s="30" t="str">
        <f t="shared" si="20"/>
        <v/>
      </c>
      <c r="L141" s="30" t="str">
        <f t="shared" si="21"/>
        <v/>
      </c>
      <c r="M141" s="30" t="str">
        <f>IF($E$8+45+$E$9&gt;989,"FALSE",IF(B141="","",IF('Cumulative Volumes Imperial'!$AQ$17=FALSE,O141,N141)))</f>
        <v/>
      </c>
      <c r="N141" s="30" t="str">
        <f t="shared" si="22"/>
        <v/>
      </c>
      <c r="O141" s="30" t="str">
        <f>IF(B141=0,"",IF('Cumulative Volumes Imperial'!$AQ$17=FALSE,(V141*$E$4)+(W141*$E$5),N141))</f>
        <v/>
      </c>
      <c r="P141" s="30" t="str">
        <f>IF(B141=0,"",(((1/12)*'Imperial Data'!$AC$4*'Imperial Data'!$AC$5)-C141)*$H$6)</f>
        <v/>
      </c>
      <c r="Q141" s="30" t="str">
        <f t="shared" si="23"/>
        <v/>
      </c>
      <c r="R141" s="30" t="str">
        <f>IF(B141=0,"",(((1/12)*'Imperial Data'!$AC$5*'Imperial Data'!$AC$7)-D141)*$H$6)</f>
        <v/>
      </c>
      <c r="S141" s="30" t="str">
        <f t="shared" si="24"/>
        <v/>
      </c>
      <c r="T141" s="30" t="str">
        <f t="shared" si="25"/>
        <v/>
      </c>
      <c r="U141" s="30" t="str">
        <f t="shared" si="26"/>
        <v/>
      </c>
      <c r="V141" s="30" t="str">
        <f t="shared" si="27"/>
        <v/>
      </c>
      <c r="W141" s="30" t="str">
        <f t="shared" si="29"/>
        <v/>
      </c>
      <c r="X141" s="31" t="str">
        <f t="shared" si="28"/>
        <v/>
      </c>
      <c r="Y141" s="30" t="str">
        <f t="shared" si="30"/>
        <v/>
      </c>
    </row>
    <row r="142" spans="1:25" x14ac:dyDescent="0.2">
      <c r="A142" s="2">
        <v>129</v>
      </c>
      <c r="B142" s="34">
        <f t="shared" si="31"/>
        <v>0</v>
      </c>
      <c r="C142" s="30" t="str">
        <f>IF(B142=0,"",IF('Imperial Data'!AG131&gt;=1, INDEX(Imperial_Incremental[], MATCH('Imperial Data'!AG131, Imperial_Incremental[Height], 1), MATCH('Cumulative Volumes Imperial'!$F$4, Imperial_Incremental[#Headers], 0)), 0))</f>
        <v/>
      </c>
      <c r="D142" s="30" t="str">
        <f>IF(B142=0,"",IF('Imperial Data'!AG131&gt;=1, INDEX(Imperial_Incremental[], MATCH('Imperial Data'!AG131, Imperial_Incremental[Height], 1), MATCH('Cumulative Volumes Imperial'!$F$4 &amp; "EC", Imperial_Incremental[#Headers], 0)), 0))</f>
        <v/>
      </c>
      <c r="E142" s="30" t="str">
        <f t="shared" ref="E142:E194" si="32">IF(B142=0,"",$E$4*C142)</f>
        <v/>
      </c>
      <c r="F142" s="30" t="str">
        <f t="shared" ref="F142:F194" si="33">IF(B142=0,"",$E$5*D142)</f>
        <v/>
      </c>
      <c r="G142" s="30" t="str">
        <f>IF(B142=0,"",IF('Cumulative Volumes Imperial'!$AQ$17=FALSE,I142,H142))</f>
        <v/>
      </c>
      <c r="H142" s="30" t="str">
        <f t="shared" ref="H142:H194" si="34">IF(B142=0,"",$H$6*($E$10*(1/12)-(E142+F142)))</f>
        <v/>
      </c>
      <c r="I142" s="30" t="str">
        <f t="shared" ref="I142:I194" si="35">IF(B142=0,"",Q142+S142)</f>
        <v/>
      </c>
      <c r="J142" s="30" t="str">
        <f>IF(B142="","",IF('Cumulative Volumes Imperial'!$AQ$17=FALSE,L142,K142))</f>
        <v/>
      </c>
      <c r="K142" s="30" t="str">
        <f t="shared" ref="K142:K194" si="36">IF(B142=0,"",H142+F142+E142)</f>
        <v/>
      </c>
      <c r="L142" s="30" t="str">
        <f t="shared" ref="L142:L194" si="37">IF(B142=0,"",E142+F142+I142)</f>
        <v/>
      </c>
      <c r="M142" s="30" t="str">
        <f>IF($E$8+45+$E$9&gt;989,"FALSE",IF(B142="","",IF('Cumulative Volumes Imperial'!$AQ$17=FALSE,O142,N142)))</f>
        <v/>
      </c>
      <c r="N142" s="30" t="str">
        <f t="shared" ref="N142:N194" si="38">IF(B142=0,"",IF(B142=1,K142,N143+K142))</f>
        <v/>
      </c>
      <c r="O142" s="30" t="str">
        <f>IF(B142=0,"",IF('Cumulative Volumes Imperial'!$AQ$17=FALSE,(V142*$E$4)+(W142*$E$5),N142))</f>
        <v/>
      </c>
      <c r="P142" s="30" t="str">
        <f>IF(B142=0,"",(((1/12)*'Imperial Data'!$AC$4*'Imperial Data'!$AC$5)-C142)*$H$6)</f>
        <v/>
      </c>
      <c r="Q142" s="30" t="str">
        <f t="shared" ref="Q142:Q194" si="39">IF(B142=0,"",P142*$E$4)</f>
        <v/>
      </c>
      <c r="R142" s="30" t="str">
        <f>IF(B142=0,"",(((1/12)*'Imperial Data'!$AC$5*'Imperial Data'!$AC$7)-D142)*$H$6)</f>
        <v/>
      </c>
      <c r="S142" s="30" t="str">
        <f t="shared" ref="S142:S194" si="40">IF(B142=0,"",R142*$E$5)</f>
        <v/>
      </c>
      <c r="T142" s="30" t="str">
        <f t="shared" ref="T142:T194" si="41">IF(B142=0,"",IF(B142=1,C142,T143+C142))</f>
        <v/>
      </c>
      <c r="U142" s="30" t="str">
        <f t="shared" ref="U142:U194" si="42">IF(B142=0,"",IF(B142=1,D142,U143+D142))</f>
        <v/>
      </c>
      <c r="V142" s="30" t="str">
        <f t="shared" ref="V142:V194" si="43">IF(B142=0,"",IF(B142=1,C142+P142,V143+C142+P142))</f>
        <v/>
      </c>
      <c r="W142" s="30" t="str">
        <f t="shared" si="29"/>
        <v/>
      </c>
      <c r="X142" s="31" t="str">
        <f t="shared" ref="X142:X194" si="44">IF(B142=0,"",IF(B142=1,P142+R142,(X143+P142+R142)))</f>
        <v/>
      </c>
      <c r="Y142" s="30" t="str">
        <f t="shared" si="30"/>
        <v/>
      </c>
    </row>
    <row r="143" spans="1:25" x14ac:dyDescent="0.2">
      <c r="A143" s="2">
        <v>130</v>
      </c>
      <c r="B143" s="34">
        <f t="shared" si="31"/>
        <v>0</v>
      </c>
      <c r="C143" s="30" t="str">
        <f>IF(B143=0,"",IF('Imperial Data'!AG132&gt;=1, INDEX(Imperial_Incremental[], MATCH('Imperial Data'!AG132, Imperial_Incremental[Height], 1), MATCH('Cumulative Volumes Imperial'!$F$4, Imperial_Incremental[#Headers], 0)), 0))</f>
        <v/>
      </c>
      <c r="D143" s="30" t="str">
        <f>IF(B143=0,"",IF('Imperial Data'!AG132&gt;=1, INDEX(Imperial_Incremental[], MATCH('Imperial Data'!AG132, Imperial_Incremental[Height], 1), MATCH('Cumulative Volumes Imperial'!$F$4 &amp; "EC", Imperial_Incremental[#Headers], 0)), 0))</f>
        <v/>
      </c>
      <c r="E143" s="30" t="str">
        <f t="shared" si="32"/>
        <v/>
      </c>
      <c r="F143" s="30" t="str">
        <f t="shared" si="33"/>
        <v/>
      </c>
      <c r="G143" s="30" t="str">
        <f>IF(B143=0,"",IF('Cumulative Volumes Imperial'!$AQ$17=FALSE,I143,H143))</f>
        <v/>
      </c>
      <c r="H143" s="30" t="str">
        <f t="shared" si="34"/>
        <v/>
      </c>
      <c r="I143" s="30" t="str">
        <f t="shared" si="35"/>
        <v/>
      </c>
      <c r="J143" s="30" t="str">
        <f>IF(B143="","",IF('Cumulative Volumes Imperial'!$AQ$17=FALSE,L143,K143))</f>
        <v/>
      </c>
      <c r="K143" s="30" t="str">
        <f t="shared" si="36"/>
        <v/>
      </c>
      <c r="L143" s="30" t="str">
        <f t="shared" si="37"/>
        <v/>
      </c>
      <c r="M143" s="30" t="str">
        <f>IF($E$8+45+$E$9&gt;989,"FALSE",IF(B143="","",IF('Cumulative Volumes Imperial'!$AQ$17=FALSE,O143,N143)))</f>
        <v/>
      </c>
      <c r="N143" s="30" t="str">
        <f t="shared" si="38"/>
        <v/>
      </c>
      <c r="O143" s="30" t="str">
        <f>IF(B143=0,"",IF('Cumulative Volumes Imperial'!$AQ$17=FALSE,(V143*$E$4)+(W143*$E$5),N143))</f>
        <v/>
      </c>
      <c r="P143" s="30" t="str">
        <f>IF(B143=0,"",(((1/12)*'Imperial Data'!$AC$4*'Imperial Data'!$AC$5)-C143)*$H$6)</f>
        <v/>
      </c>
      <c r="Q143" s="30" t="str">
        <f t="shared" si="39"/>
        <v/>
      </c>
      <c r="R143" s="30" t="str">
        <f>IF(B143=0,"",(((1/12)*'Imperial Data'!$AC$5*'Imperial Data'!$AC$7)-D143)*$H$6)</f>
        <v/>
      </c>
      <c r="S143" s="30" t="str">
        <f t="shared" si="40"/>
        <v/>
      </c>
      <c r="T143" s="30" t="str">
        <f t="shared" si="41"/>
        <v/>
      </c>
      <c r="U143" s="30" t="str">
        <f t="shared" si="42"/>
        <v/>
      </c>
      <c r="V143" s="30" t="str">
        <f t="shared" si="43"/>
        <v/>
      </c>
      <c r="W143" s="30" t="str">
        <f t="shared" ref="W143:W194" si="45">IF(B143=0,"",IF(B143=1,D143+R143,W144+D143+R143))</f>
        <v/>
      </c>
      <c r="X143" s="31" t="str">
        <f t="shared" si="44"/>
        <v/>
      </c>
      <c r="Y143" s="30" t="str">
        <f t="shared" ref="Y143:Y206" si="46">IF(B143=0,"",$E$7+B143/12)</f>
        <v/>
      </c>
    </row>
    <row r="144" spans="1:25" x14ac:dyDescent="0.2">
      <c r="A144" s="2">
        <v>131</v>
      </c>
      <c r="B144" s="34">
        <f t="shared" ref="B144:B223" si="47">IF(B143=0,0,IF(B143=" ","",IF(B143-1&gt;0,B143-1,0)))</f>
        <v>0</v>
      </c>
      <c r="C144" s="30" t="str">
        <f>IF(B144=0,"",IF('Imperial Data'!AG133&gt;=1, INDEX(Imperial_Incremental[], MATCH('Imperial Data'!AG133, Imperial_Incremental[Height], 1), MATCH('Cumulative Volumes Imperial'!$F$4, Imperial_Incremental[#Headers], 0)), 0))</f>
        <v/>
      </c>
      <c r="D144" s="30" t="str">
        <f>IF(B144=0,"",IF('Imperial Data'!AG133&gt;=1, INDEX(Imperial_Incremental[], MATCH('Imperial Data'!AG133, Imperial_Incremental[Height], 1), MATCH('Cumulative Volumes Imperial'!$F$4 &amp; "EC", Imperial_Incremental[#Headers], 0)), 0))</f>
        <v/>
      </c>
      <c r="E144" s="30" t="str">
        <f t="shared" si="32"/>
        <v/>
      </c>
      <c r="F144" s="30" t="str">
        <f t="shared" si="33"/>
        <v/>
      </c>
      <c r="G144" s="30" t="str">
        <f>IF(B144=0,"",IF('Cumulative Volumes Imperial'!$AQ$17=FALSE,I144,H144))</f>
        <v/>
      </c>
      <c r="H144" s="30" t="str">
        <f t="shared" si="34"/>
        <v/>
      </c>
      <c r="I144" s="30" t="str">
        <f t="shared" si="35"/>
        <v/>
      </c>
      <c r="J144" s="30" t="str">
        <f>IF(B144="","",IF('Cumulative Volumes Imperial'!$AQ$17=FALSE,L144,K144))</f>
        <v/>
      </c>
      <c r="K144" s="30" t="str">
        <f t="shared" si="36"/>
        <v/>
      </c>
      <c r="L144" s="30" t="str">
        <f t="shared" si="37"/>
        <v/>
      </c>
      <c r="M144" s="30" t="str">
        <f>IF($E$8+45+$E$9&gt;989,"FALSE",IF(B144="","",IF('Cumulative Volumes Imperial'!$AQ$17=FALSE,O144,N144)))</f>
        <v/>
      </c>
      <c r="N144" s="30" t="str">
        <f t="shared" si="38"/>
        <v/>
      </c>
      <c r="O144" s="30" t="str">
        <f>IF(B144=0,"",IF('Cumulative Volumes Imperial'!$AQ$17=FALSE,(V144*$E$4)+(W144*$E$5),N144))</f>
        <v/>
      </c>
      <c r="P144" s="30" t="str">
        <f>IF(B144=0,"",(((1/12)*'Imperial Data'!$AC$4*'Imperial Data'!$AC$5)-C144)*$H$6)</f>
        <v/>
      </c>
      <c r="Q144" s="30" t="str">
        <f t="shared" si="39"/>
        <v/>
      </c>
      <c r="R144" s="30" t="str">
        <f>IF(B144=0,"",(((1/12)*'Imperial Data'!$AC$5*'Imperial Data'!$AC$7)-D144)*$H$6)</f>
        <v/>
      </c>
      <c r="S144" s="30" t="str">
        <f t="shared" si="40"/>
        <v/>
      </c>
      <c r="T144" s="30" t="str">
        <f t="shared" si="41"/>
        <v/>
      </c>
      <c r="U144" s="30" t="str">
        <f t="shared" si="42"/>
        <v/>
      </c>
      <c r="V144" s="30" t="str">
        <f t="shared" si="43"/>
        <v/>
      </c>
      <c r="W144" s="30" t="str">
        <f t="shared" si="45"/>
        <v/>
      </c>
      <c r="X144" s="31" t="str">
        <f t="shared" si="44"/>
        <v/>
      </c>
      <c r="Y144" s="30" t="str">
        <f t="shared" si="46"/>
        <v/>
      </c>
    </row>
    <row r="145" spans="1:25" x14ac:dyDescent="0.2">
      <c r="A145" s="2">
        <v>132</v>
      </c>
      <c r="B145" s="34">
        <f t="shared" si="47"/>
        <v>0</v>
      </c>
      <c r="C145" s="30" t="str">
        <f>IF(B145=0,"",IF('Imperial Data'!AG134&gt;=1, INDEX(Imperial_Incremental[], MATCH('Imperial Data'!AG134, Imperial_Incremental[Height], 1), MATCH('Cumulative Volumes Imperial'!$F$4, Imperial_Incremental[#Headers], 0)), 0))</f>
        <v/>
      </c>
      <c r="D145" s="30" t="str">
        <f>IF(B145=0,"",IF('Imperial Data'!AG134&gt;=1, INDEX(Imperial_Incremental[], MATCH('Imperial Data'!AG134, Imperial_Incremental[Height], 1), MATCH('Cumulative Volumes Imperial'!$F$4 &amp; "EC", Imperial_Incremental[#Headers], 0)), 0))</f>
        <v/>
      </c>
      <c r="E145" s="30" t="str">
        <f t="shared" si="32"/>
        <v/>
      </c>
      <c r="F145" s="30" t="str">
        <f t="shared" si="33"/>
        <v/>
      </c>
      <c r="G145" s="30" t="str">
        <f>IF(B145=0,"",IF('Cumulative Volumes Imperial'!$AQ$17=FALSE,I145,H145))</f>
        <v/>
      </c>
      <c r="H145" s="30" t="str">
        <f t="shared" si="34"/>
        <v/>
      </c>
      <c r="I145" s="30" t="str">
        <f t="shared" si="35"/>
        <v/>
      </c>
      <c r="J145" s="30" t="str">
        <f>IF(B145="","",IF('Cumulative Volumes Imperial'!$AQ$17=FALSE,L145,K145))</f>
        <v/>
      </c>
      <c r="K145" s="30" t="str">
        <f t="shared" si="36"/>
        <v/>
      </c>
      <c r="L145" s="30" t="str">
        <f t="shared" si="37"/>
        <v/>
      </c>
      <c r="M145" s="30" t="str">
        <f>IF($E$8+45+$E$9&gt;989,"FALSE",IF(B145="","",IF('Cumulative Volumes Imperial'!$AQ$17=FALSE,O145,N145)))</f>
        <v/>
      </c>
      <c r="N145" s="30" t="str">
        <f t="shared" si="38"/>
        <v/>
      </c>
      <c r="O145" s="30" t="str">
        <f>IF(B145=0,"",IF('Cumulative Volumes Imperial'!$AQ$17=FALSE,(V145*$E$4)+(W145*$E$5),N145))</f>
        <v/>
      </c>
      <c r="P145" s="30" t="str">
        <f>IF(B145=0,"",(((1/12)*'Imperial Data'!$AC$4*'Imperial Data'!$AC$5)-C145)*$H$6)</f>
        <v/>
      </c>
      <c r="Q145" s="30" t="str">
        <f t="shared" si="39"/>
        <v/>
      </c>
      <c r="R145" s="30" t="str">
        <f>IF(B145=0,"",(((1/12)*'Imperial Data'!$AC$5*'Imperial Data'!$AC$7)-D145)*$H$6)</f>
        <v/>
      </c>
      <c r="S145" s="30" t="str">
        <f t="shared" si="40"/>
        <v/>
      </c>
      <c r="T145" s="30" t="str">
        <f t="shared" si="41"/>
        <v/>
      </c>
      <c r="U145" s="30" t="str">
        <f t="shared" si="42"/>
        <v/>
      </c>
      <c r="V145" s="30" t="str">
        <f t="shared" si="43"/>
        <v/>
      </c>
      <c r="W145" s="30" t="str">
        <f t="shared" si="45"/>
        <v/>
      </c>
      <c r="X145" s="31" t="str">
        <f t="shared" si="44"/>
        <v/>
      </c>
      <c r="Y145" s="30" t="str">
        <f t="shared" si="46"/>
        <v/>
      </c>
    </row>
    <row r="146" spans="1:25" x14ac:dyDescent="0.2">
      <c r="A146" s="2">
        <v>133</v>
      </c>
      <c r="B146" s="34">
        <f t="shared" si="47"/>
        <v>0</v>
      </c>
      <c r="C146" s="30" t="str">
        <f>IF(B146=0,"",IF('Imperial Data'!AG135&gt;=1, INDEX(Imperial_Incremental[], MATCH('Imperial Data'!AG135, Imperial_Incremental[Height], 1), MATCH('Cumulative Volumes Imperial'!$F$4, Imperial_Incremental[#Headers], 0)), 0))</f>
        <v/>
      </c>
      <c r="D146" s="30" t="str">
        <f>IF(B146=0,"",IF('Imperial Data'!AG135&gt;=1, INDEX(Imperial_Incremental[], MATCH('Imperial Data'!AG135, Imperial_Incremental[Height], 1), MATCH('Cumulative Volumes Imperial'!$F$4 &amp; "EC", Imperial_Incremental[#Headers], 0)), 0))</f>
        <v/>
      </c>
      <c r="E146" s="30" t="str">
        <f t="shared" si="32"/>
        <v/>
      </c>
      <c r="F146" s="30" t="str">
        <f t="shared" si="33"/>
        <v/>
      </c>
      <c r="G146" s="30" t="str">
        <f>IF(B146=0,"",IF('Cumulative Volumes Imperial'!$AQ$17=FALSE,I146,H146))</f>
        <v/>
      </c>
      <c r="H146" s="30" t="str">
        <f t="shared" si="34"/>
        <v/>
      </c>
      <c r="I146" s="30" t="str">
        <f t="shared" si="35"/>
        <v/>
      </c>
      <c r="J146" s="30" t="str">
        <f>IF(B146="","",IF('Cumulative Volumes Imperial'!$AQ$17=FALSE,L146,K146))</f>
        <v/>
      </c>
      <c r="K146" s="30" t="str">
        <f t="shared" si="36"/>
        <v/>
      </c>
      <c r="L146" s="30" t="str">
        <f t="shared" si="37"/>
        <v/>
      </c>
      <c r="M146" s="30" t="str">
        <f>IF($E$8+45+$E$9&gt;989,"FALSE",IF(B146="","",IF('Cumulative Volumes Imperial'!$AQ$17=FALSE,O146,N146)))</f>
        <v/>
      </c>
      <c r="N146" s="30" t="str">
        <f t="shared" si="38"/>
        <v/>
      </c>
      <c r="O146" s="30" t="str">
        <f>IF(B146=0,"",IF('Cumulative Volumes Imperial'!$AQ$17=FALSE,(V146*$E$4)+(W146*$E$5),N146))</f>
        <v/>
      </c>
      <c r="P146" s="30" t="str">
        <f>IF(B146=0,"",(((1/12)*'Imperial Data'!$AC$4*'Imperial Data'!$AC$5)-C146)*$H$6)</f>
        <v/>
      </c>
      <c r="Q146" s="30" t="str">
        <f t="shared" si="39"/>
        <v/>
      </c>
      <c r="R146" s="30" t="str">
        <f>IF(B146=0,"",(((1/12)*'Imperial Data'!$AC$5*'Imperial Data'!$AC$7)-D146)*$H$6)</f>
        <v/>
      </c>
      <c r="S146" s="30" t="str">
        <f t="shared" si="40"/>
        <v/>
      </c>
      <c r="T146" s="30" t="str">
        <f t="shared" si="41"/>
        <v/>
      </c>
      <c r="U146" s="30" t="str">
        <f t="shared" si="42"/>
        <v/>
      </c>
      <c r="V146" s="30" t="str">
        <f t="shared" si="43"/>
        <v/>
      </c>
      <c r="W146" s="30" t="str">
        <f t="shared" si="45"/>
        <v/>
      </c>
      <c r="X146" s="31" t="str">
        <f t="shared" si="44"/>
        <v/>
      </c>
      <c r="Y146" s="30" t="str">
        <f t="shared" si="46"/>
        <v/>
      </c>
    </row>
    <row r="147" spans="1:25" x14ac:dyDescent="0.2">
      <c r="A147" s="2">
        <v>134</v>
      </c>
      <c r="B147" s="34">
        <f t="shared" si="47"/>
        <v>0</v>
      </c>
      <c r="C147" s="30" t="str">
        <f>IF(B147=0,"",IF('Imperial Data'!AG136&gt;=1, INDEX(Imperial_Incremental[], MATCH('Imperial Data'!AG136, Imperial_Incremental[Height], 1), MATCH('Cumulative Volumes Imperial'!$F$4, Imperial_Incremental[#Headers], 0)), 0))</f>
        <v/>
      </c>
      <c r="D147" s="30" t="str">
        <f>IF(B147=0,"",IF('Imperial Data'!AG136&gt;=1, INDEX(Imperial_Incremental[], MATCH('Imperial Data'!AG136, Imperial_Incremental[Height], 1), MATCH('Cumulative Volumes Imperial'!$F$4 &amp; "EC", Imperial_Incremental[#Headers], 0)), 0))</f>
        <v/>
      </c>
      <c r="E147" s="30" t="str">
        <f t="shared" si="32"/>
        <v/>
      </c>
      <c r="F147" s="30" t="str">
        <f t="shared" si="33"/>
        <v/>
      </c>
      <c r="G147" s="30" t="str">
        <f>IF(B147=0,"",IF('Cumulative Volumes Imperial'!$AQ$17=FALSE,I147,H147))</f>
        <v/>
      </c>
      <c r="H147" s="30" t="str">
        <f t="shared" si="34"/>
        <v/>
      </c>
      <c r="I147" s="30" t="str">
        <f t="shared" si="35"/>
        <v/>
      </c>
      <c r="J147" s="30" t="str">
        <f>IF(B147="","",IF('Cumulative Volumes Imperial'!$AQ$17=FALSE,L147,K147))</f>
        <v/>
      </c>
      <c r="K147" s="30" t="str">
        <f t="shared" si="36"/>
        <v/>
      </c>
      <c r="L147" s="30" t="str">
        <f t="shared" si="37"/>
        <v/>
      </c>
      <c r="M147" s="30" t="str">
        <f>IF($E$8+45+$E$9&gt;989,"FALSE",IF(B147="","",IF('Cumulative Volumes Imperial'!$AQ$17=FALSE,O147,N147)))</f>
        <v/>
      </c>
      <c r="N147" s="30" t="str">
        <f t="shared" si="38"/>
        <v/>
      </c>
      <c r="O147" s="30" t="str">
        <f>IF(B147=0,"",IF('Cumulative Volumes Imperial'!$AQ$17=FALSE,(V147*$E$4)+(W147*$E$5),N147))</f>
        <v/>
      </c>
      <c r="P147" s="30" t="str">
        <f>IF(B147=0,"",(((1/12)*'Imperial Data'!$AC$4*'Imperial Data'!$AC$5)-C147)*$H$6)</f>
        <v/>
      </c>
      <c r="Q147" s="30" t="str">
        <f t="shared" si="39"/>
        <v/>
      </c>
      <c r="R147" s="30" t="str">
        <f>IF(B147=0,"",(((1/12)*'Imperial Data'!$AC$5*'Imperial Data'!$AC$7)-D147)*$H$6)</f>
        <v/>
      </c>
      <c r="S147" s="30" t="str">
        <f t="shared" si="40"/>
        <v/>
      </c>
      <c r="T147" s="30" t="str">
        <f t="shared" si="41"/>
        <v/>
      </c>
      <c r="U147" s="30" t="str">
        <f t="shared" si="42"/>
        <v/>
      </c>
      <c r="V147" s="30" t="str">
        <f t="shared" si="43"/>
        <v/>
      </c>
      <c r="W147" s="30" t="str">
        <f t="shared" si="45"/>
        <v/>
      </c>
      <c r="X147" s="31" t="str">
        <f t="shared" si="44"/>
        <v/>
      </c>
      <c r="Y147" s="30" t="str">
        <f t="shared" si="46"/>
        <v/>
      </c>
    </row>
    <row r="148" spans="1:25" x14ac:dyDescent="0.2">
      <c r="A148" s="2">
        <v>135</v>
      </c>
      <c r="B148" s="34">
        <f t="shared" si="47"/>
        <v>0</v>
      </c>
      <c r="C148" s="30" t="str">
        <f>IF(B148=0,"",IF('Imperial Data'!AG137&gt;=1, INDEX(Imperial_Incremental[], MATCH('Imperial Data'!AG137, Imperial_Incremental[Height], 1), MATCH('Cumulative Volumes Imperial'!$F$4, Imperial_Incremental[#Headers], 0)), 0))</f>
        <v/>
      </c>
      <c r="D148" s="30" t="str">
        <f>IF(B148=0,"",IF('Imperial Data'!AG137&gt;=1, INDEX(Imperial_Incremental[], MATCH('Imperial Data'!AG137, Imperial_Incremental[Height], 1), MATCH('Cumulative Volumes Imperial'!$F$4 &amp; "EC", Imperial_Incremental[#Headers], 0)), 0))</f>
        <v/>
      </c>
      <c r="E148" s="30" t="str">
        <f t="shared" si="32"/>
        <v/>
      </c>
      <c r="F148" s="30" t="str">
        <f t="shared" si="33"/>
        <v/>
      </c>
      <c r="G148" s="30" t="str">
        <f>IF(B148=0,"",IF('Cumulative Volumes Imperial'!$AQ$17=FALSE,I148,H148))</f>
        <v/>
      </c>
      <c r="H148" s="30" t="str">
        <f t="shared" si="34"/>
        <v/>
      </c>
      <c r="I148" s="30" t="str">
        <f t="shared" si="35"/>
        <v/>
      </c>
      <c r="J148" s="30" t="str">
        <f>IF(B148="","",IF('Cumulative Volumes Imperial'!$AQ$17=FALSE,L148,K148))</f>
        <v/>
      </c>
      <c r="K148" s="30" t="str">
        <f t="shared" si="36"/>
        <v/>
      </c>
      <c r="L148" s="30" t="str">
        <f t="shared" si="37"/>
        <v/>
      </c>
      <c r="M148" s="30" t="str">
        <f>IF($E$8+45+$E$9&gt;989,"FALSE",IF(B148="","",IF('Cumulative Volumes Imperial'!$AQ$17=FALSE,O148,N148)))</f>
        <v/>
      </c>
      <c r="N148" s="30" t="str">
        <f t="shared" si="38"/>
        <v/>
      </c>
      <c r="O148" s="30" t="str">
        <f>IF(B148=0,"",IF('Cumulative Volumes Imperial'!$AQ$17=FALSE,(V148*$E$4)+(W148*$E$5),N148))</f>
        <v/>
      </c>
      <c r="P148" s="30" t="str">
        <f>IF(B148=0,"",(((1/12)*'Imperial Data'!$AC$4*'Imperial Data'!$AC$5)-C148)*$H$6)</f>
        <v/>
      </c>
      <c r="Q148" s="30" t="str">
        <f t="shared" si="39"/>
        <v/>
      </c>
      <c r="R148" s="30" t="str">
        <f>IF(B148=0,"",(((1/12)*'Imperial Data'!$AC$5*'Imperial Data'!$AC$7)-D148)*$H$6)</f>
        <v/>
      </c>
      <c r="S148" s="30" t="str">
        <f t="shared" si="40"/>
        <v/>
      </c>
      <c r="T148" s="30" t="str">
        <f t="shared" si="41"/>
        <v/>
      </c>
      <c r="U148" s="30" t="str">
        <f t="shared" si="42"/>
        <v/>
      </c>
      <c r="V148" s="30" t="str">
        <f t="shared" si="43"/>
        <v/>
      </c>
      <c r="W148" s="30" t="str">
        <f t="shared" si="45"/>
        <v/>
      </c>
      <c r="X148" s="31" t="str">
        <f t="shared" si="44"/>
        <v/>
      </c>
      <c r="Y148" s="30" t="str">
        <f t="shared" si="46"/>
        <v/>
      </c>
    </row>
    <row r="149" spans="1:25" x14ac:dyDescent="0.2">
      <c r="A149" s="2">
        <v>136</v>
      </c>
      <c r="B149" s="34">
        <f t="shared" si="47"/>
        <v>0</v>
      </c>
      <c r="C149" s="30" t="str">
        <f>IF(B149=0,"",IF('Imperial Data'!AG138&gt;=1, INDEX(Imperial_Incremental[], MATCH('Imperial Data'!AG138, Imperial_Incremental[Height], 1), MATCH('Cumulative Volumes Imperial'!$F$4, Imperial_Incremental[#Headers], 0)), 0))</f>
        <v/>
      </c>
      <c r="D149" s="30" t="str">
        <f>IF(B149=0,"",IF('Imperial Data'!AG138&gt;=1, INDEX(Imperial_Incremental[], MATCH('Imperial Data'!AG138, Imperial_Incremental[Height], 1), MATCH('Cumulative Volumes Imperial'!$F$4 &amp; "EC", Imperial_Incremental[#Headers], 0)), 0))</f>
        <v/>
      </c>
      <c r="E149" s="30" t="str">
        <f t="shared" si="32"/>
        <v/>
      </c>
      <c r="F149" s="30" t="str">
        <f t="shared" si="33"/>
        <v/>
      </c>
      <c r="G149" s="30" t="str">
        <f>IF(B149=0,"",IF('Cumulative Volumes Imperial'!$AQ$17=FALSE,I149,H149))</f>
        <v/>
      </c>
      <c r="H149" s="30" t="str">
        <f t="shared" si="34"/>
        <v/>
      </c>
      <c r="I149" s="30" t="str">
        <f t="shared" si="35"/>
        <v/>
      </c>
      <c r="J149" s="30" t="str">
        <f>IF(B149="","",IF('Cumulative Volumes Imperial'!$AQ$17=FALSE,L149,K149))</f>
        <v/>
      </c>
      <c r="K149" s="30" t="str">
        <f t="shared" si="36"/>
        <v/>
      </c>
      <c r="L149" s="30" t="str">
        <f t="shared" si="37"/>
        <v/>
      </c>
      <c r="M149" s="30" t="str">
        <f>IF($E$8+45+$E$9&gt;989,"FALSE",IF(B149="","",IF('Cumulative Volumes Imperial'!$AQ$17=FALSE,O149,N149)))</f>
        <v/>
      </c>
      <c r="N149" s="30" t="str">
        <f t="shared" si="38"/>
        <v/>
      </c>
      <c r="O149" s="30" t="str">
        <f>IF(B149=0,"",IF('Cumulative Volumes Imperial'!$AQ$17=FALSE,(V149*$E$4)+(W149*$E$5),N149))</f>
        <v/>
      </c>
      <c r="P149" s="30" t="str">
        <f>IF(B149=0,"",(((1/12)*'Imperial Data'!$AC$4*'Imperial Data'!$AC$5)-C149)*$H$6)</f>
        <v/>
      </c>
      <c r="Q149" s="30" t="str">
        <f t="shared" si="39"/>
        <v/>
      </c>
      <c r="R149" s="30" t="str">
        <f>IF(B149=0,"",(((1/12)*'Imperial Data'!$AC$5*'Imperial Data'!$AC$7)-D149)*$H$6)</f>
        <v/>
      </c>
      <c r="S149" s="30" t="str">
        <f t="shared" si="40"/>
        <v/>
      </c>
      <c r="T149" s="30" t="str">
        <f t="shared" si="41"/>
        <v/>
      </c>
      <c r="U149" s="30" t="str">
        <f t="shared" si="42"/>
        <v/>
      </c>
      <c r="V149" s="30" t="str">
        <f t="shared" si="43"/>
        <v/>
      </c>
      <c r="W149" s="30" t="str">
        <f t="shared" si="45"/>
        <v/>
      </c>
      <c r="X149" s="31" t="str">
        <f t="shared" si="44"/>
        <v/>
      </c>
      <c r="Y149" s="30" t="str">
        <f t="shared" si="46"/>
        <v/>
      </c>
    </row>
    <row r="150" spans="1:25" x14ac:dyDescent="0.2">
      <c r="A150" s="2">
        <v>137</v>
      </c>
      <c r="B150" s="34">
        <f t="shared" si="47"/>
        <v>0</v>
      </c>
      <c r="C150" s="30" t="str">
        <f>IF(B150=0,"",IF('Imperial Data'!AG139&gt;=1, INDEX(Imperial_Incremental[], MATCH('Imperial Data'!AG139, Imperial_Incremental[Height], 1), MATCH('Cumulative Volumes Imperial'!$F$4, Imperial_Incremental[#Headers], 0)), 0))</f>
        <v/>
      </c>
      <c r="D150" s="30" t="str">
        <f>IF(B150=0,"",IF('Imperial Data'!AG139&gt;=1, INDEX(Imperial_Incremental[], MATCH('Imperial Data'!AG139, Imperial_Incremental[Height], 1), MATCH('Cumulative Volumes Imperial'!$F$4 &amp; "EC", Imperial_Incremental[#Headers], 0)), 0))</f>
        <v/>
      </c>
      <c r="E150" s="30" t="str">
        <f t="shared" si="32"/>
        <v/>
      </c>
      <c r="F150" s="30" t="str">
        <f t="shared" si="33"/>
        <v/>
      </c>
      <c r="G150" s="30" t="str">
        <f>IF(B150=0,"",IF('Cumulative Volumes Imperial'!$AQ$17=FALSE,I150,H150))</f>
        <v/>
      </c>
      <c r="H150" s="30" t="str">
        <f t="shared" si="34"/>
        <v/>
      </c>
      <c r="I150" s="30" t="str">
        <f t="shared" si="35"/>
        <v/>
      </c>
      <c r="J150" s="30" t="str">
        <f>IF(B150="","",IF('Cumulative Volumes Imperial'!$AQ$17=FALSE,L150,K150))</f>
        <v/>
      </c>
      <c r="K150" s="30" t="str">
        <f t="shared" si="36"/>
        <v/>
      </c>
      <c r="L150" s="30" t="str">
        <f t="shared" si="37"/>
        <v/>
      </c>
      <c r="M150" s="30" t="str">
        <f>IF($E$8+45+$E$9&gt;989,"FALSE",IF(B150="","",IF('Cumulative Volumes Imperial'!$AQ$17=FALSE,O150,N150)))</f>
        <v/>
      </c>
      <c r="N150" s="30" t="str">
        <f t="shared" si="38"/>
        <v/>
      </c>
      <c r="O150" s="30" t="str">
        <f>IF(B150=0,"",IF('Cumulative Volumes Imperial'!$AQ$17=FALSE,(V150*$E$4)+(W150*$E$5),N150))</f>
        <v/>
      </c>
      <c r="P150" s="30" t="str">
        <f>IF(B150=0,"",(((1/12)*'Imperial Data'!$AC$4*'Imperial Data'!$AC$5)-C150)*$H$6)</f>
        <v/>
      </c>
      <c r="Q150" s="30" t="str">
        <f t="shared" si="39"/>
        <v/>
      </c>
      <c r="R150" s="30" t="str">
        <f>IF(B150=0,"",(((1/12)*'Imperial Data'!$AC$5*'Imperial Data'!$AC$7)-D150)*$H$6)</f>
        <v/>
      </c>
      <c r="S150" s="30" t="str">
        <f t="shared" si="40"/>
        <v/>
      </c>
      <c r="T150" s="30" t="str">
        <f t="shared" si="41"/>
        <v/>
      </c>
      <c r="U150" s="30" t="str">
        <f t="shared" si="42"/>
        <v/>
      </c>
      <c r="V150" s="30" t="str">
        <f t="shared" si="43"/>
        <v/>
      </c>
      <c r="W150" s="30" t="str">
        <f t="shared" si="45"/>
        <v/>
      </c>
      <c r="X150" s="31" t="str">
        <f t="shared" si="44"/>
        <v/>
      </c>
      <c r="Y150" s="30" t="str">
        <f t="shared" si="46"/>
        <v/>
      </c>
    </row>
    <row r="151" spans="1:25" x14ac:dyDescent="0.2">
      <c r="A151" s="2">
        <v>138</v>
      </c>
      <c r="B151" s="34">
        <f t="shared" si="47"/>
        <v>0</v>
      </c>
      <c r="C151" s="30" t="str">
        <f>IF(B151=0,"",IF('Imperial Data'!AG140&gt;=1, INDEX(Imperial_Incremental[], MATCH('Imperial Data'!AG140, Imperial_Incremental[Height], 1), MATCH('Cumulative Volumes Imperial'!$F$4, Imperial_Incremental[#Headers], 0)), 0))</f>
        <v/>
      </c>
      <c r="D151" s="30" t="str">
        <f>IF(B151=0,"",IF('Imperial Data'!AG140&gt;=1, INDEX(Imperial_Incremental[], MATCH('Imperial Data'!AG140, Imperial_Incremental[Height], 1), MATCH('Cumulative Volumes Imperial'!$F$4 &amp; "EC", Imperial_Incremental[#Headers], 0)), 0))</f>
        <v/>
      </c>
      <c r="E151" s="30" t="str">
        <f t="shared" si="32"/>
        <v/>
      </c>
      <c r="F151" s="30" t="str">
        <f t="shared" si="33"/>
        <v/>
      </c>
      <c r="G151" s="30" t="str">
        <f>IF(B151=0,"",IF('Cumulative Volumes Imperial'!$AQ$17=FALSE,I151,H151))</f>
        <v/>
      </c>
      <c r="H151" s="30" t="str">
        <f t="shared" si="34"/>
        <v/>
      </c>
      <c r="I151" s="30" t="str">
        <f t="shared" si="35"/>
        <v/>
      </c>
      <c r="J151" s="30" t="str">
        <f>IF(B151="","",IF('Cumulative Volumes Imperial'!$AQ$17=FALSE,L151,K151))</f>
        <v/>
      </c>
      <c r="K151" s="30" t="str">
        <f t="shared" si="36"/>
        <v/>
      </c>
      <c r="L151" s="30" t="str">
        <f t="shared" si="37"/>
        <v/>
      </c>
      <c r="M151" s="30" t="str">
        <f>IF($E$8+45+$E$9&gt;989,"FALSE",IF(B151="","",IF('Cumulative Volumes Imperial'!$AQ$17=FALSE,O151,N151)))</f>
        <v/>
      </c>
      <c r="N151" s="30" t="str">
        <f t="shared" si="38"/>
        <v/>
      </c>
      <c r="O151" s="30" t="str">
        <f>IF(B151=0,"",IF('Cumulative Volumes Imperial'!$AQ$17=FALSE,(V151*$E$4)+(W151*$E$5),N151))</f>
        <v/>
      </c>
      <c r="P151" s="30" t="str">
        <f>IF(B151=0,"",(((1/12)*'Imperial Data'!$AC$4*'Imperial Data'!$AC$5)-C151)*$H$6)</f>
        <v/>
      </c>
      <c r="Q151" s="30" t="str">
        <f t="shared" si="39"/>
        <v/>
      </c>
      <c r="R151" s="30" t="str">
        <f>IF(B151=0,"",(((1/12)*'Imperial Data'!$AC$5*'Imperial Data'!$AC$7)-D151)*$H$6)</f>
        <v/>
      </c>
      <c r="S151" s="30" t="str">
        <f t="shared" si="40"/>
        <v/>
      </c>
      <c r="T151" s="30" t="str">
        <f t="shared" si="41"/>
        <v/>
      </c>
      <c r="U151" s="30" t="str">
        <f t="shared" si="42"/>
        <v/>
      </c>
      <c r="V151" s="30" t="str">
        <f t="shared" si="43"/>
        <v/>
      </c>
      <c r="W151" s="30" t="str">
        <f t="shared" si="45"/>
        <v/>
      </c>
      <c r="X151" s="31" t="str">
        <f t="shared" si="44"/>
        <v/>
      </c>
      <c r="Y151" s="30" t="str">
        <f t="shared" si="46"/>
        <v/>
      </c>
    </row>
    <row r="152" spans="1:25" x14ac:dyDescent="0.2">
      <c r="A152" s="2">
        <v>139</v>
      </c>
      <c r="B152" s="34">
        <f t="shared" si="47"/>
        <v>0</v>
      </c>
      <c r="C152" s="30" t="str">
        <f>IF(B152=0,"",IF('Imperial Data'!AG141&gt;=1, INDEX(Imperial_Incremental[], MATCH('Imperial Data'!AG141, Imperial_Incremental[Height], 1), MATCH('Cumulative Volumes Imperial'!$F$4, Imperial_Incremental[#Headers], 0)), 0))</f>
        <v/>
      </c>
      <c r="D152" s="30" t="str">
        <f>IF(B152=0,"",IF('Imperial Data'!AG141&gt;=1, INDEX(Imperial_Incremental[], MATCH('Imperial Data'!AG141, Imperial_Incremental[Height], 1), MATCH('Cumulative Volumes Imperial'!$F$4 &amp; "EC", Imperial_Incremental[#Headers], 0)), 0))</f>
        <v/>
      </c>
      <c r="E152" s="30" t="str">
        <f t="shared" si="32"/>
        <v/>
      </c>
      <c r="F152" s="30" t="str">
        <f t="shared" si="33"/>
        <v/>
      </c>
      <c r="G152" s="30" t="str">
        <f>IF(B152=0,"",IF('Cumulative Volumes Imperial'!$AQ$17=FALSE,I152,H152))</f>
        <v/>
      </c>
      <c r="H152" s="30" t="str">
        <f t="shared" si="34"/>
        <v/>
      </c>
      <c r="I152" s="30" t="str">
        <f t="shared" si="35"/>
        <v/>
      </c>
      <c r="J152" s="30" t="str">
        <f>IF(B152="","",IF('Cumulative Volumes Imperial'!$AQ$17=FALSE,L152,K152))</f>
        <v/>
      </c>
      <c r="K152" s="30" t="str">
        <f t="shared" si="36"/>
        <v/>
      </c>
      <c r="L152" s="30" t="str">
        <f t="shared" si="37"/>
        <v/>
      </c>
      <c r="M152" s="30" t="str">
        <f>IF($E$8+45+$E$9&gt;989,"FALSE",IF(B152="","",IF('Cumulative Volumes Imperial'!$AQ$17=FALSE,O152,N152)))</f>
        <v/>
      </c>
      <c r="N152" s="30" t="str">
        <f t="shared" si="38"/>
        <v/>
      </c>
      <c r="O152" s="30" t="str">
        <f>IF(B152=0,"",IF('Cumulative Volumes Imperial'!$AQ$17=FALSE,(V152*$E$4)+(W152*$E$5),N152))</f>
        <v/>
      </c>
      <c r="P152" s="30" t="str">
        <f>IF(B152=0,"",(((1/12)*'Imperial Data'!$AC$4*'Imperial Data'!$AC$5)-C152)*$H$6)</f>
        <v/>
      </c>
      <c r="Q152" s="30" t="str">
        <f t="shared" si="39"/>
        <v/>
      </c>
      <c r="R152" s="30" t="str">
        <f>IF(B152=0,"",(((1/12)*'Imperial Data'!$AC$5*'Imperial Data'!$AC$7)-D152)*$H$6)</f>
        <v/>
      </c>
      <c r="S152" s="30" t="str">
        <f t="shared" si="40"/>
        <v/>
      </c>
      <c r="T152" s="30" t="str">
        <f t="shared" si="41"/>
        <v/>
      </c>
      <c r="U152" s="30" t="str">
        <f t="shared" si="42"/>
        <v/>
      </c>
      <c r="V152" s="30" t="str">
        <f t="shared" si="43"/>
        <v/>
      </c>
      <c r="W152" s="30" t="str">
        <f t="shared" si="45"/>
        <v/>
      </c>
      <c r="X152" s="31" t="str">
        <f t="shared" si="44"/>
        <v/>
      </c>
      <c r="Y152" s="30" t="str">
        <f t="shared" si="46"/>
        <v/>
      </c>
    </row>
    <row r="153" spans="1:25" x14ac:dyDescent="0.2">
      <c r="A153" s="2">
        <v>140</v>
      </c>
      <c r="B153" s="34">
        <f t="shared" si="47"/>
        <v>0</v>
      </c>
      <c r="C153" s="30" t="str">
        <f>IF(B153=0,"",IF('Imperial Data'!AG142&gt;=1, INDEX(Imperial_Incremental[], MATCH('Imperial Data'!AG142, Imperial_Incremental[Height], 1), MATCH('Cumulative Volumes Imperial'!$F$4, Imperial_Incremental[#Headers], 0)), 0))</f>
        <v/>
      </c>
      <c r="D153" s="30" t="str">
        <f>IF(B153=0,"",IF('Imperial Data'!AG142&gt;=1, INDEX(Imperial_Incremental[], MATCH('Imperial Data'!AG142, Imperial_Incremental[Height], 1), MATCH('Cumulative Volumes Imperial'!$F$4 &amp; "EC", Imperial_Incremental[#Headers], 0)), 0))</f>
        <v/>
      </c>
      <c r="E153" s="30" t="str">
        <f t="shared" si="32"/>
        <v/>
      </c>
      <c r="F153" s="30" t="str">
        <f t="shared" si="33"/>
        <v/>
      </c>
      <c r="G153" s="30" t="str">
        <f>IF(B153=0,"",IF('Cumulative Volumes Imperial'!$AQ$17=FALSE,I153,H153))</f>
        <v/>
      </c>
      <c r="H153" s="30" t="str">
        <f t="shared" si="34"/>
        <v/>
      </c>
      <c r="I153" s="30" t="str">
        <f t="shared" si="35"/>
        <v/>
      </c>
      <c r="J153" s="30" t="str">
        <f>IF(B153="","",IF('Cumulative Volumes Imperial'!$AQ$17=FALSE,L153,K153))</f>
        <v/>
      </c>
      <c r="K153" s="30" t="str">
        <f t="shared" si="36"/>
        <v/>
      </c>
      <c r="L153" s="30" t="str">
        <f t="shared" si="37"/>
        <v/>
      </c>
      <c r="M153" s="30" t="str">
        <f>IF($E$8+45+$E$9&gt;989,"FALSE",IF(B153="","",IF('Cumulative Volumes Imperial'!$AQ$17=FALSE,O153,N153)))</f>
        <v/>
      </c>
      <c r="N153" s="30" t="str">
        <f t="shared" si="38"/>
        <v/>
      </c>
      <c r="O153" s="30" t="str">
        <f>IF(B153=0,"",IF('Cumulative Volumes Imperial'!$AQ$17=FALSE,(V153*$E$4)+(W153*$E$5),N153))</f>
        <v/>
      </c>
      <c r="P153" s="30" t="str">
        <f>IF(B153=0,"",(((1/12)*'Imperial Data'!$AC$4*'Imperial Data'!$AC$5)-C153)*$H$6)</f>
        <v/>
      </c>
      <c r="Q153" s="30" t="str">
        <f t="shared" si="39"/>
        <v/>
      </c>
      <c r="R153" s="30" t="str">
        <f>IF(B153=0,"",(((1/12)*'Imperial Data'!$AC$5*'Imperial Data'!$AC$7)-D153)*$H$6)</f>
        <v/>
      </c>
      <c r="S153" s="30" t="str">
        <f t="shared" si="40"/>
        <v/>
      </c>
      <c r="T153" s="30" t="str">
        <f t="shared" si="41"/>
        <v/>
      </c>
      <c r="U153" s="30" t="str">
        <f t="shared" si="42"/>
        <v/>
      </c>
      <c r="V153" s="30" t="str">
        <f t="shared" si="43"/>
        <v/>
      </c>
      <c r="W153" s="30" t="str">
        <f t="shared" si="45"/>
        <v/>
      </c>
      <c r="X153" s="31" t="str">
        <f t="shared" si="44"/>
        <v/>
      </c>
      <c r="Y153" s="30" t="str">
        <f t="shared" si="46"/>
        <v/>
      </c>
    </row>
    <row r="154" spans="1:25" x14ac:dyDescent="0.2">
      <c r="A154" s="2">
        <v>141</v>
      </c>
      <c r="B154" s="34">
        <f t="shared" si="47"/>
        <v>0</v>
      </c>
      <c r="C154" s="30" t="str">
        <f>IF(B154=0,"",IF('Imperial Data'!AG143&gt;=1, INDEX(Imperial_Incremental[], MATCH('Imperial Data'!AG143, Imperial_Incremental[Height], 1), MATCH('Cumulative Volumes Imperial'!$F$4, Imperial_Incremental[#Headers], 0)), 0))</f>
        <v/>
      </c>
      <c r="D154" s="30" t="str">
        <f>IF(B154=0,"",IF('Imperial Data'!AG143&gt;=1, INDEX(Imperial_Incremental[], MATCH('Imperial Data'!AG143, Imperial_Incremental[Height], 1), MATCH('Cumulative Volumes Imperial'!$F$4 &amp; "EC", Imperial_Incremental[#Headers], 0)), 0))</f>
        <v/>
      </c>
      <c r="E154" s="30" t="str">
        <f t="shared" si="32"/>
        <v/>
      </c>
      <c r="F154" s="30" t="str">
        <f t="shared" si="33"/>
        <v/>
      </c>
      <c r="G154" s="30" t="str">
        <f>IF(B154=0,"",IF('Cumulative Volumes Imperial'!$AQ$17=FALSE,I154,H154))</f>
        <v/>
      </c>
      <c r="H154" s="30" t="str">
        <f t="shared" si="34"/>
        <v/>
      </c>
      <c r="I154" s="30" t="str">
        <f t="shared" si="35"/>
        <v/>
      </c>
      <c r="J154" s="30" t="str">
        <f>IF(B154="","",IF('Cumulative Volumes Imperial'!$AQ$17=FALSE,L154,K154))</f>
        <v/>
      </c>
      <c r="K154" s="30" t="str">
        <f t="shared" si="36"/>
        <v/>
      </c>
      <c r="L154" s="30" t="str">
        <f t="shared" si="37"/>
        <v/>
      </c>
      <c r="M154" s="30" t="str">
        <f>IF($E$8+45+$E$9&gt;989,"FALSE",IF(B154="","",IF('Cumulative Volumes Imperial'!$AQ$17=FALSE,O154,N154)))</f>
        <v/>
      </c>
      <c r="N154" s="30" t="str">
        <f t="shared" si="38"/>
        <v/>
      </c>
      <c r="O154" s="30" t="str">
        <f>IF(B154=0,"",IF('Cumulative Volumes Imperial'!$AQ$17=FALSE,(V154*$E$4)+(W154*$E$5),N154))</f>
        <v/>
      </c>
      <c r="P154" s="30" t="str">
        <f>IF(B154=0,"",(((1/12)*'Imperial Data'!$AC$4*'Imperial Data'!$AC$5)-C154)*$H$6)</f>
        <v/>
      </c>
      <c r="Q154" s="30" t="str">
        <f t="shared" si="39"/>
        <v/>
      </c>
      <c r="R154" s="30" t="str">
        <f>IF(B154=0,"",(((1/12)*'Imperial Data'!$AC$5*'Imperial Data'!$AC$7)-D154)*$H$6)</f>
        <v/>
      </c>
      <c r="S154" s="30" t="str">
        <f t="shared" si="40"/>
        <v/>
      </c>
      <c r="T154" s="30" t="str">
        <f t="shared" si="41"/>
        <v/>
      </c>
      <c r="U154" s="30" t="str">
        <f t="shared" si="42"/>
        <v/>
      </c>
      <c r="V154" s="30" t="str">
        <f t="shared" si="43"/>
        <v/>
      </c>
      <c r="W154" s="30" t="str">
        <f t="shared" si="45"/>
        <v/>
      </c>
      <c r="X154" s="31" t="str">
        <f t="shared" si="44"/>
        <v/>
      </c>
      <c r="Y154" s="30" t="str">
        <f t="shared" si="46"/>
        <v/>
      </c>
    </row>
    <row r="155" spans="1:25" x14ac:dyDescent="0.2">
      <c r="A155" s="2">
        <v>142</v>
      </c>
      <c r="B155" s="34">
        <f t="shared" si="47"/>
        <v>0</v>
      </c>
      <c r="C155" s="30" t="str">
        <f>IF(B155=0,"",IF('Imperial Data'!AG144&gt;=1, INDEX(Imperial_Incremental[], MATCH('Imperial Data'!AG144, Imperial_Incremental[Height], 1), MATCH('Cumulative Volumes Imperial'!$F$4, Imperial_Incremental[#Headers], 0)), 0))</f>
        <v/>
      </c>
      <c r="D155" s="30" t="str">
        <f>IF(B155=0,"",IF('Imperial Data'!AG144&gt;=1, INDEX(Imperial_Incremental[], MATCH('Imperial Data'!AG144, Imperial_Incremental[Height], 1), MATCH('Cumulative Volumes Imperial'!$F$4 &amp; "EC", Imperial_Incremental[#Headers], 0)), 0))</f>
        <v/>
      </c>
      <c r="E155" s="30" t="str">
        <f t="shared" si="32"/>
        <v/>
      </c>
      <c r="F155" s="30" t="str">
        <f t="shared" si="33"/>
        <v/>
      </c>
      <c r="G155" s="30" t="str">
        <f>IF(B155=0,"",IF('Cumulative Volumes Imperial'!$AQ$17=FALSE,I155,H155))</f>
        <v/>
      </c>
      <c r="H155" s="30" t="str">
        <f t="shared" si="34"/>
        <v/>
      </c>
      <c r="I155" s="30" t="str">
        <f t="shared" si="35"/>
        <v/>
      </c>
      <c r="J155" s="30" t="str">
        <f>IF(B155="","",IF('Cumulative Volumes Imperial'!$AQ$17=FALSE,L155,K155))</f>
        <v/>
      </c>
      <c r="K155" s="30" t="str">
        <f t="shared" si="36"/>
        <v/>
      </c>
      <c r="L155" s="30" t="str">
        <f t="shared" si="37"/>
        <v/>
      </c>
      <c r="M155" s="30" t="str">
        <f>IF($E$8+45+$E$9&gt;989,"FALSE",IF(B155="","",IF('Cumulative Volumes Imperial'!$AQ$17=FALSE,O155,N155)))</f>
        <v/>
      </c>
      <c r="N155" s="30" t="str">
        <f t="shared" si="38"/>
        <v/>
      </c>
      <c r="O155" s="30" t="str">
        <f>IF(B155=0,"",IF('Cumulative Volumes Imperial'!$AQ$17=FALSE,(V155*$E$4)+(W155*$E$5),N155))</f>
        <v/>
      </c>
      <c r="P155" s="30" t="str">
        <f>IF(B155=0,"",(((1/12)*'Imperial Data'!$AC$4*'Imperial Data'!$AC$5)-C155)*$H$6)</f>
        <v/>
      </c>
      <c r="Q155" s="30" t="str">
        <f t="shared" si="39"/>
        <v/>
      </c>
      <c r="R155" s="30" t="str">
        <f>IF(B155=0,"",(((1/12)*'Imperial Data'!$AC$5*'Imperial Data'!$AC$7)-D155)*$H$6)</f>
        <v/>
      </c>
      <c r="S155" s="30" t="str">
        <f t="shared" si="40"/>
        <v/>
      </c>
      <c r="T155" s="30" t="str">
        <f t="shared" si="41"/>
        <v/>
      </c>
      <c r="U155" s="30" t="str">
        <f t="shared" si="42"/>
        <v/>
      </c>
      <c r="V155" s="30" t="str">
        <f t="shared" si="43"/>
        <v/>
      </c>
      <c r="W155" s="30" t="str">
        <f t="shared" si="45"/>
        <v/>
      </c>
      <c r="X155" s="31" t="str">
        <f t="shared" si="44"/>
        <v/>
      </c>
      <c r="Y155" s="30" t="str">
        <f t="shared" si="46"/>
        <v/>
      </c>
    </row>
    <row r="156" spans="1:25" x14ac:dyDescent="0.2">
      <c r="A156" s="2">
        <v>143</v>
      </c>
      <c r="B156" s="34">
        <f t="shared" si="47"/>
        <v>0</v>
      </c>
      <c r="C156" s="30" t="str">
        <f>IF(B156=0,"",IF('Imperial Data'!AG145&gt;=1, INDEX(Imperial_Incremental[], MATCH('Imperial Data'!AG145, Imperial_Incremental[Height], 1), MATCH('Cumulative Volumes Imperial'!$F$4, Imperial_Incremental[#Headers], 0)), 0))</f>
        <v/>
      </c>
      <c r="D156" s="30" t="str">
        <f>IF(B156=0,"",IF('Imperial Data'!AG145&gt;=1, INDEX(Imperial_Incremental[], MATCH('Imperial Data'!AG145, Imperial_Incremental[Height], 1), MATCH('Cumulative Volumes Imperial'!$F$4 &amp; "EC", Imperial_Incremental[#Headers], 0)), 0))</f>
        <v/>
      </c>
      <c r="E156" s="30" t="str">
        <f t="shared" si="32"/>
        <v/>
      </c>
      <c r="F156" s="30" t="str">
        <f t="shared" si="33"/>
        <v/>
      </c>
      <c r="G156" s="30" t="str">
        <f>IF(B156=0,"",IF('Cumulative Volumes Imperial'!$AQ$17=FALSE,I156,H156))</f>
        <v/>
      </c>
      <c r="H156" s="30" t="str">
        <f t="shared" si="34"/>
        <v/>
      </c>
      <c r="I156" s="30" t="str">
        <f t="shared" si="35"/>
        <v/>
      </c>
      <c r="J156" s="30" t="str">
        <f>IF(B156="","",IF('Cumulative Volumes Imperial'!$AQ$17=FALSE,L156,K156))</f>
        <v/>
      </c>
      <c r="K156" s="30" t="str">
        <f t="shared" si="36"/>
        <v/>
      </c>
      <c r="L156" s="30" t="str">
        <f t="shared" si="37"/>
        <v/>
      </c>
      <c r="M156" s="30" t="str">
        <f>IF($E$8+45+$E$9&gt;989,"FALSE",IF(B156="","",IF('Cumulative Volumes Imperial'!$AQ$17=FALSE,O156,N156)))</f>
        <v/>
      </c>
      <c r="N156" s="30" t="str">
        <f t="shared" si="38"/>
        <v/>
      </c>
      <c r="O156" s="30" t="str">
        <f>IF(B156=0,"",IF('Cumulative Volumes Imperial'!$AQ$17=FALSE,(V156*$E$4)+(W156*$E$5),N156))</f>
        <v/>
      </c>
      <c r="P156" s="30" t="str">
        <f>IF(B156=0,"",(((1/12)*'Imperial Data'!$AC$4*'Imperial Data'!$AC$5)-C156)*$H$6)</f>
        <v/>
      </c>
      <c r="Q156" s="30" t="str">
        <f t="shared" si="39"/>
        <v/>
      </c>
      <c r="R156" s="30" t="str">
        <f>IF(B156=0,"",(((1/12)*'Imperial Data'!$AC$5*'Imperial Data'!$AC$7)-D156)*$H$6)</f>
        <v/>
      </c>
      <c r="S156" s="30" t="str">
        <f t="shared" si="40"/>
        <v/>
      </c>
      <c r="T156" s="30" t="str">
        <f t="shared" si="41"/>
        <v/>
      </c>
      <c r="U156" s="30" t="str">
        <f t="shared" si="42"/>
        <v/>
      </c>
      <c r="V156" s="30" t="str">
        <f t="shared" si="43"/>
        <v/>
      </c>
      <c r="W156" s="30" t="str">
        <f t="shared" si="45"/>
        <v/>
      </c>
      <c r="X156" s="31" t="str">
        <f t="shared" si="44"/>
        <v/>
      </c>
      <c r="Y156" s="30" t="str">
        <f t="shared" si="46"/>
        <v/>
      </c>
    </row>
    <row r="157" spans="1:25" x14ac:dyDescent="0.2">
      <c r="A157" s="2">
        <v>144</v>
      </c>
      <c r="B157" s="34">
        <f t="shared" si="47"/>
        <v>0</v>
      </c>
      <c r="C157" s="30" t="str">
        <f>IF(B157=0,"",IF('Imperial Data'!AG146&gt;=1, INDEX(Imperial_Incremental[], MATCH('Imperial Data'!AG146, Imperial_Incremental[Height], 1), MATCH('Cumulative Volumes Imperial'!$F$4, Imperial_Incremental[#Headers], 0)), 0))</f>
        <v/>
      </c>
      <c r="D157" s="30" t="str">
        <f>IF(B157=0,"",IF('Imperial Data'!AG146&gt;=1, INDEX(Imperial_Incremental[], MATCH('Imperial Data'!AG146, Imperial_Incremental[Height], 1), MATCH('Cumulative Volumes Imperial'!$F$4 &amp; "EC", Imperial_Incremental[#Headers], 0)), 0))</f>
        <v/>
      </c>
      <c r="E157" s="30" t="str">
        <f t="shared" si="32"/>
        <v/>
      </c>
      <c r="F157" s="30" t="str">
        <f t="shared" si="33"/>
        <v/>
      </c>
      <c r="G157" s="30" t="str">
        <f>IF(B157=0,"",IF('Cumulative Volumes Imperial'!$AQ$17=FALSE,I157,H157))</f>
        <v/>
      </c>
      <c r="H157" s="30" t="str">
        <f t="shared" si="34"/>
        <v/>
      </c>
      <c r="I157" s="30" t="str">
        <f t="shared" si="35"/>
        <v/>
      </c>
      <c r="J157" s="30" t="str">
        <f>IF(B157="","",IF('Cumulative Volumes Imperial'!$AQ$17=FALSE,L157,K157))</f>
        <v/>
      </c>
      <c r="K157" s="30" t="str">
        <f t="shared" si="36"/>
        <v/>
      </c>
      <c r="L157" s="30" t="str">
        <f t="shared" si="37"/>
        <v/>
      </c>
      <c r="M157" s="30" t="str">
        <f>IF($E$8+45+$E$9&gt;989,"FALSE",IF(B157="","",IF('Cumulative Volumes Imperial'!$AQ$17=FALSE,O157,N157)))</f>
        <v/>
      </c>
      <c r="N157" s="30" t="str">
        <f t="shared" si="38"/>
        <v/>
      </c>
      <c r="O157" s="30" t="str">
        <f>IF(B157=0,"",IF('Cumulative Volumes Imperial'!$AQ$17=FALSE,(V157*$E$4)+(W157*$E$5),N157))</f>
        <v/>
      </c>
      <c r="P157" s="30" t="str">
        <f>IF(B157=0,"",(((1/12)*'Imperial Data'!$AC$4*'Imperial Data'!$AC$5)-C157)*$H$6)</f>
        <v/>
      </c>
      <c r="Q157" s="30" t="str">
        <f t="shared" si="39"/>
        <v/>
      </c>
      <c r="R157" s="30" t="str">
        <f>IF(B157=0,"",(((1/12)*'Imperial Data'!$AC$5*'Imperial Data'!$AC$7)-D157)*$H$6)</f>
        <v/>
      </c>
      <c r="S157" s="30" t="str">
        <f t="shared" si="40"/>
        <v/>
      </c>
      <c r="T157" s="30" t="str">
        <f t="shared" si="41"/>
        <v/>
      </c>
      <c r="U157" s="30" t="str">
        <f t="shared" si="42"/>
        <v/>
      </c>
      <c r="V157" s="30" t="str">
        <f t="shared" si="43"/>
        <v/>
      </c>
      <c r="W157" s="30" t="str">
        <f t="shared" si="45"/>
        <v/>
      </c>
      <c r="X157" s="31" t="str">
        <f t="shared" si="44"/>
        <v/>
      </c>
      <c r="Y157" s="30" t="str">
        <f t="shared" si="46"/>
        <v/>
      </c>
    </row>
    <row r="158" spans="1:25" x14ac:dyDescent="0.2">
      <c r="A158" s="2">
        <v>145</v>
      </c>
      <c r="B158" s="34">
        <f t="shared" si="47"/>
        <v>0</v>
      </c>
      <c r="C158" s="30" t="str">
        <f>IF(B158=0,"",IF('Imperial Data'!AG147&gt;=1, INDEX(Imperial_Incremental[], MATCH('Imperial Data'!AG147, Imperial_Incremental[Height], 1), MATCH('Cumulative Volumes Imperial'!$F$4, Imperial_Incremental[#Headers], 0)), 0))</f>
        <v/>
      </c>
      <c r="D158" s="30" t="str">
        <f>IF(B158=0,"",IF('Imperial Data'!AG147&gt;=1, INDEX(Imperial_Incremental[], MATCH('Imperial Data'!AG147, Imperial_Incremental[Height], 1), MATCH('Cumulative Volumes Imperial'!$F$4 &amp; "EC", Imperial_Incremental[#Headers], 0)), 0))</f>
        <v/>
      </c>
      <c r="E158" s="30" t="str">
        <f t="shared" si="32"/>
        <v/>
      </c>
      <c r="F158" s="30" t="str">
        <f t="shared" si="33"/>
        <v/>
      </c>
      <c r="G158" s="30" t="str">
        <f>IF(B158=0,"",IF('Cumulative Volumes Imperial'!$AQ$17=FALSE,I158,H158))</f>
        <v/>
      </c>
      <c r="H158" s="30" t="str">
        <f t="shared" si="34"/>
        <v/>
      </c>
      <c r="I158" s="30" t="str">
        <f t="shared" si="35"/>
        <v/>
      </c>
      <c r="J158" s="30" t="str">
        <f>IF(B158="","",IF('Cumulative Volumes Imperial'!$AQ$17=FALSE,L158,K158))</f>
        <v/>
      </c>
      <c r="K158" s="30" t="str">
        <f t="shared" si="36"/>
        <v/>
      </c>
      <c r="L158" s="30" t="str">
        <f t="shared" si="37"/>
        <v/>
      </c>
      <c r="M158" s="30" t="str">
        <f>IF($E$8+45+$E$9&gt;989,"FALSE",IF(B158="","",IF('Cumulative Volumes Imperial'!$AQ$17=FALSE,O158,N158)))</f>
        <v/>
      </c>
      <c r="N158" s="30" t="str">
        <f t="shared" si="38"/>
        <v/>
      </c>
      <c r="O158" s="30" t="str">
        <f>IF(B158=0,"",IF('Cumulative Volumes Imperial'!$AQ$17=FALSE,(V158*$E$4)+(W158*$E$5),N158))</f>
        <v/>
      </c>
      <c r="P158" s="30" t="str">
        <f>IF(B158=0,"",(((1/12)*'Imperial Data'!$AC$4*'Imperial Data'!$AC$5)-C158)*$H$6)</f>
        <v/>
      </c>
      <c r="Q158" s="30" t="str">
        <f t="shared" si="39"/>
        <v/>
      </c>
      <c r="R158" s="30" t="str">
        <f>IF(B158=0,"",(((1/12)*'Imperial Data'!$AC$5*'Imperial Data'!$AC$7)-D158)*$H$6)</f>
        <v/>
      </c>
      <c r="S158" s="30" t="str">
        <f t="shared" si="40"/>
        <v/>
      </c>
      <c r="T158" s="30" t="str">
        <f t="shared" si="41"/>
        <v/>
      </c>
      <c r="U158" s="30" t="str">
        <f t="shared" si="42"/>
        <v/>
      </c>
      <c r="V158" s="30" t="str">
        <f t="shared" si="43"/>
        <v/>
      </c>
      <c r="W158" s="30" t="str">
        <f t="shared" si="45"/>
        <v/>
      </c>
      <c r="X158" s="31" t="str">
        <f t="shared" si="44"/>
        <v/>
      </c>
      <c r="Y158" s="30" t="str">
        <f t="shared" si="46"/>
        <v/>
      </c>
    </row>
    <row r="159" spans="1:25" x14ac:dyDescent="0.2">
      <c r="A159" s="2">
        <v>146</v>
      </c>
      <c r="B159" s="34">
        <f t="shared" si="47"/>
        <v>0</v>
      </c>
      <c r="C159" s="30" t="str">
        <f>IF(B159=0,"",IF('Imperial Data'!AG148&gt;=1, INDEX(Imperial_Incremental[], MATCH('Imperial Data'!AG148, Imperial_Incremental[Height], 1), MATCH('Cumulative Volumes Imperial'!$F$4, Imperial_Incremental[#Headers], 0)), 0))</f>
        <v/>
      </c>
      <c r="D159" s="30" t="str">
        <f>IF(B159=0,"",IF('Imperial Data'!AG148&gt;=1, INDEX(Imperial_Incremental[], MATCH('Imperial Data'!AG148, Imperial_Incremental[Height], 1), MATCH('Cumulative Volumes Imperial'!$F$4 &amp; "EC", Imperial_Incremental[#Headers], 0)), 0))</f>
        <v/>
      </c>
      <c r="E159" s="30" t="str">
        <f t="shared" si="32"/>
        <v/>
      </c>
      <c r="F159" s="30" t="str">
        <f t="shared" si="33"/>
        <v/>
      </c>
      <c r="G159" s="30" t="str">
        <f>IF(B159=0,"",IF('Cumulative Volumes Imperial'!$AQ$17=FALSE,I159,H159))</f>
        <v/>
      </c>
      <c r="H159" s="30" t="str">
        <f t="shared" si="34"/>
        <v/>
      </c>
      <c r="I159" s="30" t="str">
        <f t="shared" si="35"/>
        <v/>
      </c>
      <c r="J159" s="30" t="str">
        <f>IF(B159="","",IF('Cumulative Volumes Imperial'!$AQ$17=FALSE,L159,K159))</f>
        <v/>
      </c>
      <c r="K159" s="30" t="str">
        <f t="shared" si="36"/>
        <v/>
      </c>
      <c r="L159" s="30" t="str">
        <f t="shared" si="37"/>
        <v/>
      </c>
      <c r="M159" s="30" t="str">
        <f>IF($E$8+45+$E$9&gt;989,"FALSE",IF(B159="","",IF('Cumulative Volumes Imperial'!$AQ$17=FALSE,O159,N159)))</f>
        <v/>
      </c>
      <c r="N159" s="30" t="str">
        <f t="shared" si="38"/>
        <v/>
      </c>
      <c r="O159" s="30" t="str">
        <f>IF(B159=0,"",IF('Cumulative Volumes Imperial'!$AQ$17=FALSE,(V159*$E$4)+(W159*$E$5),N159))</f>
        <v/>
      </c>
      <c r="P159" s="30" t="str">
        <f>IF(B159=0,"",(((1/12)*'Imperial Data'!$AC$4*'Imperial Data'!$AC$5)-C159)*$H$6)</f>
        <v/>
      </c>
      <c r="Q159" s="30" t="str">
        <f t="shared" si="39"/>
        <v/>
      </c>
      <c r="R159" s="30" t="str">
        <f>IF(B159=0,"",(((1/12)*'Imperial Data'!$AC$5*'Imperial Data'!$AC$7)-D159)*$H$6)</f>
        <v/>
      </c>
      <c r="S159" s="30" t="str">
        <f t="shared" si="40"/>
        <v/>
      </c>
      <c r="T159" s="30" t="str">
        <f t="shared" si="41"/>
        <v/>
      </c>
      <c r="U159" s="30" t="str">
        <f t="shared" si="42"/>
        <v/>
      </c>
      <c r="V159" s="30" t="str">
        <f t="shared" si="43"/>
        <v/>
      </c>
      <c r="W159" s="30" t="str">
        <f t="shared" si="45"/>
        <v/>
      </c>
      <c r="X159" s="31" t="str">
        <f t="shared" si="44"/>
        <v/>
      </c>
      <c r="Y159" s="30" t="str">
        <f t="shared" si="46"/>
        <v/>
      </c>
    </row>
    <row r="160" spans="1:25" x14ac:dyDescent="0.2">
      <c r="A160" s="2">
        <v>147</v>
      </c>
      <c r="B160" s="34">
        <f t="shared" si="47"/>
        <v>0</v>
      </c>
      <c r="C160" s="30" t="str">
        <f>IF(B160=0,"",IF('Imperial Data'!AG149&gt;=1, INDEX(Imperial_Incremental[], MATCH('Imperial Data'!AG149, Imperial_Incremental[Height], 1), MATCH('Cumulative Volumes Imperial'!$F$4, Imperial_Incremental[#Headers], 0)), 0))</f>
        <v/>
      </c>
      <c r="D160" s="30" t="str">
        <f>IF(B160=0,"",IF('Imperial Data'!AG149&gt;=1, INDEX(Imperial_Incremental[], MATCH('Imperial Data'!AG149, Imperial_Incremental[Height], 1), MATCH('Cumulative Volumes Imperial'!$F$4 &amp; "EC", Imperial_Incremental[#Headers], 0)), 0))</f>
        <v/>
      </c>
      <c r="E160" s="30" t="str">
        <f t="shared" si="32"/>
        <v/>
      </c>
      <c r="F160" s="30" t="str">
        <f t="shared" si="33"/>
        <v/>
      </c>
      <c r="G160" s="30" t="str">
        <f>IF(B160=0,"",IF('Cumulative Volumes Imperial'!$AQ$17=FALSE,I160,H160))</f>
        <v/>
      </c>
      <c r="H160" s="30" t="str">
        <f t="shared" si="34"/>
        <v/>
      </c>
      <c r="I160" s="30" t="str">
        <f t="shared" si="35"/>
        <v/>
      </c>
      <c r="J160" s="30" t="str">
        <f>IF(B160="","",IF('Cumulative Volumes Imperial'!$AQ$17=FALSE,L160,K160))</f>
        <v/>
      </c>
      <c r="K160" s="30" t="str">
        <f t="shared" si="36"/>
        <v/>
      </c>
      <c r="L160" s="30" t="str">
        <f t="shared" si="37"/>
        <v/>
      </c>
      <c r="M160" s="30" t="str">
        <f>IF($E$8+45+$E$9&gt;989,"FALSE",IF(B160="","",IF('Cumulative Volumes Imperial'!$AQ$17=FALSE,O160,N160)))</f>
        <v/>
      </c>
      <c r="N160" s="30" t="str">
        <f t="shared" si="38"/>
        <v/>
      </c>
      <c r="O160" s="30" t="str">
        <f>IF(B160=0,"",IF('Cumulative Volumes Imperial'!$AQ$17=FALSE,(V160*$E$4)+(W160*$E$5),N160))</f>
        <v/>
      </c>
      <c r="P160" s="30" t="str">
        <f>IF(B160=0,"",(((1/12)*'Imperial Data'!$AC$4*'Imperial Data'!$AC$5)-C160)*$H$6)</f>
        <v/>
      </c>
      <c r="Q160" s="30" t="str">
        <f t="shared" si="39"/>
        <v/>
      </c>
      <c r="R160" s="30" t="str">
        <f>IF(B160=0,"",(((1/12)*'Imperial Data'!$AC$5*'Imperial Data'!$AC$7)-D160)*$H$6)</f>
        <v/>
      </c>
      <c r="S160" s="30" t="str">
        <f t="shared" si="40"/>
        <v/>
      </c>
      <c r="T160" s="30" t="str">
        <f t="shared" si="41"/>
        <v/>
      </c>
      <c r="U160" s="30" t="str">
        <f t="shared" si="42"/>
        <v/>
      </c>
      <c r="V160" s="30" t="str">
        <f t="shared" si="43"/>
        <v/>
      </c>
      <c r="W160" s="30" t="str">
        <f t="shared" si="45"/>
        <v/>
      </c>
      <c r="X160" s="31" t="str">
        <f t="shared" si="44"/>
        <v/>
      </c>
      <c r="Y160" s="30" t="str">
        <f t="shared" si="46"/>
        <v/>
      </c>
    </row>
    <row r="161" spans="1:25" x14ac:dyDescent="0.2">
      <c r="A161" s="2">
        <v>148</v>
      </c>
      <c r="B161" s="34">
        <f t="shared" si="47"/>
        <v>0</v>
      </c>
      <c r="C161" s="30" t="str">
        <f>IF(B161=0,"",IF('Imperial Data'!AG150&gt;=1, INDEX(Imperial_Incremental[], MATCH('Imperial Data'!AG150, Imperial_Incremental[Height], 1), MATCH('Cumulative Volumes Imperial'!$F$4, Imperial_Incremental[#Headers], 0)), 0))</f>
        <v/>
      </c>
      <c r="D161" s="30" t="str">
        <f>IF(B161=0,"",IF('Imperial Data'!AG150&gt;=1, INDEX(Imperial_Incremental[], MATCH('Imperial Data'!AG150, Imperial_Incremental[Height], 1), MATCH('Cumulative Volumes Imperial'!$F$4 &amp; "EC", Imperial_Incremental[#Headers], 0)), 0))</f>
        <v/>
      </c>
      <c r="E161" s="30" t="str">
        <f t="shared" si="32"/>
        <v/>
      </c>
      <c r="F161" s="30" t="str">
        <f t="shared" si="33"/>
        <v/>
      </c>
      <c r="G161" s="30" t="str">
        <f>IF(B161=0,"",IF('Cumulative Volumes Imperial'!$AQ$17=FALSE,I161,H161))</f>
        <v/>
      </c>
      <c r="H161" s="30" t="str">
        <f t="shared" si="34"/>
        <v/>
      </c>
      <c r="I161" s="30" t="str">
        <f t="shared" si="35"/>
        <v/>
      </c>
      <c r="J161" s="30" t="str">
        <f>IF(B161="","",IF('Cumulative Volumes Imperial'!$AQ$17=FALSE,L161,K161))</f>
        <v/>
      </c>
      <c r="K161" s="30" t="str">
        <f t="shared" si="36"/>
        <v/>
      </c>
      <c r="L161" s="30" t="str">
        <f t="shared" si="37"/>
        <v/>
      </c>
      <c r="M161" s="30" t="str">
        <f>IF($E$8+45+$E$9&gt;989,"FALSE",IF(B161="","",IF('Cumulative Volumes Imperial'!$AQ$17=FALSE,O161,N161)))</f>
        <v/>
      </c>
      <c r="N161" s="30" t="str">
        <f t="shared" si="38"/>
        <v/>
      </c>
      <c r="O161" s="30" t="str">
        <f>IF(B161=0,"",IF('Cumulative Volumes Imperial'!$AQ$17=FALSE,(V161*$E$4)+(W161*$E$5),N161))</f>
        <v/>
      </c>
      <c r="P161" s="30" t="str">
        <f>IF(B161=0,"",(((1/12)*'Imperial Data'!$AC$4*'Imperial Data'!$AC$5)-C161)*$H$6)</f>
        <v/>
      </c>
      <c r="Q161" s="30" t="str">
        <f t="shared" si="39"/>
        <v/>
      </c>
      <c r="R161" s="30" t="str">
        <f>IF(B161=0,"",(((1/12)*'Imperial Data'!$AC$5*'Imperial Data'!$AC$7)-D161)*$H$6)</f>
        <v/>
      </c>
      <c r="S161" s="30" t="str">
        <f t="shared" si="40"/>
        <v/>
      </c>
      <c r="T161" s="30" t="str">
        <f t="shared" si="41"/>
        <v/>
      </c>
      <c r="U161" s="30" t="str">
        <f t="shared" si="42"/>
        <v/>
      </c>
      <c r="V161" s="30" t="str">
        <f t="shared" si="43"/>
        <v/>
      </c>
      <c r="W161" s="30" t="str">
        <f t="shared" si="45"/>
        <v/>
      </c>
      <c r="X161" s="31" t="str">
        <f t="shared" si="44"/>
        <v/>
      </c>
      <c r="Y161" s="30" t="str">
        <f t="shared" si="46"/>
        <v/>
      </c>
    </row>
    <row r="162" spans="1:25" x14ac:dyDescent="0.2">
      <c r="A162" s="2">
        <v>149</v>
      </c>
      <c r="B162" s="34">
        <f t="shared" si="47"/>
        <v>0</v>
      </c>
      <c r="C162" s="30" t="str">
        <f>IF(B162=0,"",IF('Imperial Data'!AG151&gt;=1, INDEX(Imperial_Incremental[], MATCH('Imperial Data'!AG151, Imperial_Incremental[Height], 1), MATCH('Cumulative Volumes Imperial'!$F$4, Imperial_Incremental[#Headers], 0)), 0))</f>
        <v/>
      </c>
      <c r="D162" s="30" t="str">
        <f>IF(B162=0,"",IF('Imperial Data'!AG151&gt;=1, INDEX(Imperial_Incremental[], MATCH('Imperial Data'!AG151, Imperial_Incremental[Height], 1), MATCH('Cumulative Volumes Imperial'!$F$4 &amp; "EC", Imperial_Incremental[#Headers], 0)), 0))</f>
        <v/>
      </c>
      <c r="E162" s="30" t="str">
        <f t="shared" si="32"/>
        <v/>
      </c>
      <c r="F162" s="30" t="str">
        <f t="shared" si="33"/>
        <v/>
      </c>
      <c r="G162" s="30" t="str">
        <f>IF(B162=0,"",IF('Cumulative Volumes Imperial'!$AQ$17=FALSE,I162,H162))</f>
        <v/>
      </c>
      <c r="H162" s="30" t="str">
        <f t="shared" si="34"/>
        <v/>
      </c>
      <c r="I162" s="30" t="str">
        <f t="shared" si="35"/>
        <v/>
      </c>
      <c r="J162" s="30" t="str">
        <f>IF(B162="","",IF('Cumulative Volumes Imperial'!$AQ$17=FALSE,L162,K162))</f>
        <v/>
      </c>
      <c r="K162" s="30" t="str">
        <f t="shared" si="36"/>
        <v/>
      </c>
      <c r="L162" s="30" t="str">
        <f t="shared" si="37"/>
        <v/>
      </c>
      <c r="M162" s="30" t="str">
        <f>IF($E$8+45+$E$9&gt;989,"FALSE",IF(B162="","",IF('Cumulative Volumes Imperial'!$AQ$17=FALSE,O162,N162)))</f>
        <v/>
      </c>
      <c r="N162" s="30" t="str">
        <f t="shared" si="38"/>
        <v/>
      </c>
      <c r="O162" s="30" t="str">
        <f>IF(B162=0,"",IF('Cumulative Volumes Imperial'!$AQ$17=FALSE,(V162*$E$4)+(W162*$E$5),N162))</f>
        <v/>
      </c>
      <c r="P162" s="30" t="str">
        <f>IF(B162=0,"",(((1/12)*'Imperial Data'!$AC$4*'Imperial Data'!$AC$5)-C162)*$H$6)</f>
        <v/>
      </c>
      <c r="Q162" s="30" t="str">
        <f t="shared" si="39"/>
        <v/>
      </c>
      <c r="R162" s="30" t="str">
        <f>IF(B162=0,"",(((1/12)*'Imperial Data'!$AC$5*'Imperial Data'!$AC$7)-D162)*$H$6)</f>
        <v/>
      </c>
      <c r="S162" s="30" t="str">
        <f t="shared" si="40"/>
        <v/>
      </c>
      <c r="T162" s="30" t="str">
        <f t="shared" si="41"/>
        <v/>
      </c>
      <c r="U162" s="30" t="str">
        <f t="shared" si="42"/>
        <v/>
      </c>
      <c r="V162" s="30" t="str">
        <f t="shared" si="43"/>
        <v/>
      </c>
      <c r="W162" s="30" t="str">
        <f t="shared" si="45"/>
        <v/>
      </c>
      <c r="X162" s="31" t="str">
        <f t="shared" si="44"/>
        <v/>
      </c>
      <c r="Y162" s="30" t="str">
        <f t="shared" si="46"/>
        <v/>
      </c>
    </row>
    <row r="163" spans="1:25" x14ac:dyDescent="0.2">
      <c r="A163" s="2">
        <v>150</v>
      </c>
      <c r="B163" s="34">
        <f t="shared" si="47"/>
        <v>0</v>
      </c>
      <c r="C163" s="30" t="str">
        <f>IF(B163=0,"",IF('Imperial Data'!AG152&gt;=1, INDEX(Imperial_Incremental[], MATCH('Imperial Data'!AG152, Imperial_Incremental[Height], 1), MATCH('Cumulative Volumes Imperial'!$F$4, Imperial_Incremental[#Headers], 0)), 0))</f>
        <v/>
      </c>
      <c r="D163" s="30" t="str">
        <f>IF(B163=0,"",IF('Imperial Data'!AG152&gt;=1, INDEX(Imperial_Incremental[], MATCH('Imperial Data'!AG152, Imperial_Incremental[Height], 1), MATCH('Cumulative Volumes Imperial'!$F$4 &amp; "EC", Imperial_Incremental[#Headers], 0)), 0))</f>
        <v/>
      </c>
      <c r="E163" s="30" t="str">
        <f t="shared" si="32"/>
        <v/>
      </c>
      <c r="F163" s="30" t="str">
        <f t="shared" si="33"/>
        <v/>
      </c>
      <c r="G163" s="30" t="str">
        <f>IF(B163=0,"",IF('Cumulative Volumes Imperial'!$AQ$17=FALSE,I163,H163))</f>
        <v/>
      </c>
      <c r="H163" s="30" t="str">
        <f t="shared" si="34"/>
        <v/>
      </c>
      <c r="I163" s="30" t="str">
        <f t="shared" si="35"/>
        <v/>
      </c>
      <c r="J163" s="30" t="str">
        <f>IF(B163="","",IF('Cumulative Volumes Imperial'!$AQ$17=FALSE,L163,K163))</f>
        <v/>
      </c>
      <c r="K163" s="30" t="str">
        <f t="shared" si="36"/>
        <v/>
      </c>
      <c r="L163" s="30" t="str">
        <f t="shared" si="37"/>
        <v/>
      </c>
      <c r="M163" s="30" t="str">
        <f>IF($E$8+45+$E$9&gt;989,"FALSE",IF(B163="","",IF('Cumulative Volumes Imperial'!$AQ$17=FALSE,O163,N163)))</f>
        <v/>
      </c>
      <c r="N163" s="30" t="str">
        <f t="shared" si="38"/>
        <v/>
      </c>
      <c r="O163" s="30" t="str">
        <f>IF(B163=0,"",IF('Cumulative Volumes Imperial'!$AQ$17=FALSE,(V163*$E$4)+(W163*$E$5),N163))</f>
        <v/>
      </c>
      <c r="P163" s="30" t="str">
        <f>IF(B163=0,"",(((1/12)*'Imperial Data'!$AC$4*'Imperial Data'!$AC$5)-C163)*$H$6)</f>
        <v/>
      </c>
      <c r="Q163" s="30" t="str">
        <f t="shared" si="39"/>
        <v/>
      </c>
      <c r="R163" s="30" t="str">
        <f>IF(B163=0,"",(((1/12)*'Imperial Data'!$AC$5*'Imperial Data'!$AC$7)-D163)*$H$6)</f>
        <v/>
      </c>
      <c r="S163" s="30" t="str">
        <f t="shared" si="40"/>
        <v/>
      </c>
      <c r="T163" s="30" t="str">
        <f t="shared" si="41"/>
        <v/>
      </c>
      <c r="U163" s="30" t="str">
        <f t="shared" si="42"/>
        <v/>
      </c>
      <c r="V163" s="30" t="str">
        <f t="shared" si="43"/>
        <v/>
      </c>
      <c r="W163" s="30" t="str">
        <f t="shared" si="45"/>
        <v/>
      </c>
      <c r="X163" s="31" t="str">
        <f t="shared" si="44"/>
        <v/>
      </c>
      <c r="Y163" s="30" t="str">
        <f t="shared" si="46"/>
        <v/>
      </c>
    </row>
    <row r="164" spans="1:25" x14ac:dyDescent="0.2">
      <c r="A164" s="2">
        <v>151</v>
      </c>
      <c r="B164" s="34">
        <f t="shared" si="47"/>
        <v>0</v>
      </c>
      <c r="C164" s="30" t="str">
        <f>IF(B164=0,"",IF('Imperial Data'!AG153&gt;=1, INDEX(Imperial_Incremental[], MATCH('Imperial Data'!AG153, Imperial_Incremental[Height], 1), MATCH('Cumulative Volumes Imperial'!$F$4, Imperial_Incremental[#Headers], 0)), 0))</f>
        <v/>
      </c>
      <c r="D164" s="30" t="str">
        <f>IF(B164=0,"",IF('Imperial Data'!AG153&gt;=1, INDEX(Imperial_Incremental[], MATCH('Imperial Data'!AG153, Imperial_Incremental[Height], 1), MATCH('Cumulative Volumes Imperial'!$F$4 &amp; "EC", Imperial_Incremental[#Headers], 0)), 0))</f>
        <v/>
      </c>
      <c r="E164" s="30" t="str">
        <f t="shared" si="32"/>
        <v/>
      </c>
      <c r="F164" s="30" t="str">
        <f t="shared" si="33"/>
        <v/>
      </c>
      <c r="G164" s="30" t="str">
        <f>IF(B164=0,"",IF('Cumulative Volumes Imperial'!$AQ$17=FALSE,I164,H164))</f>
        <v/>
      </c>
      <c r="H164" s="30" t="str">
        <f t="shared" si="34"/>
        <v/>
      </c>
      <c r="I164" s="30" t="str">
        <f t="shared" si="35"/>
        <v/>
      </c>
      <c r="J164" s="30" t="str">
        <f>IF(B164="","",IF('Cumulative Volumes Imperial'!$AQ$17=FALSE,L164,K164))</f>
        <v/>
      </c>
      <c r="K164" s="30" t="str">
        <f t="shared" si="36"/>
        <v/>
      </c>
      <c r="L164" s="30" t="str">
        <f t="shared" si="37"/>
        <v/>
      </c>
      <c r="M164" s="30" t="str">
        <f>IF($E$8+45+$E$9&gt;989,"FALSE",IF(B164="","",IF('Cumulative Volumes Imperial'!$AQ$17=FALSE,O164,N164)))</f>
        <v/>
      </c>
      <c r="N164" s="30" t="str">
        <f t="shared" si="38"/>
        <v/>
      </c>
      <c r="O164" s="30" t="str">
        <f>IF(B164=0,"",IF('Cumulative Volumes Imperial'!$AQ$17=FALSE,(V164*$E$4)+(W164*$E$5),N164))</f>
        <v/>
      </c>
      <c r="P164" s="30" t="str">
        <f>IF(B164=0,"",(((1/12)*'Imperial Data'!$AC$4*'Imperial Data'!$AC$5)-C164)*$H$6)</f>
        <v/>
      </c>
      <c r="Q164" s="30" t="str">
        <f t="shared" si="39"/>
        <v/>
      </c>
      <c r="R164" s="30" t="str">
        <f>IF(B164=0,"",(((1/12)*'Imperial Data'!$AC$5*'Imperial Data'!$AC$7)-D164)*$H$6)</f>
        <v/>
      </c>
      <c r="S164" s="30" t="str">
        <f t="shared" si="40"/>
        <v/>
      </c>
      <c r="T164" s="30" t="str">
        <f t="shared" si="41"/>
        <v/>
      </c>
      <c r="U164" s="30" t="str">
        <f t="shared" si="42"/>
        <v/>
      </c>
      <c r="V164" s="30" t="str">
        <f t="shared" si="43"/>
        <v/>
      </c>
      <c r="W164" s="30" t="str">
        <f t="shared" si="45"/>
        <v/>
      </c>
      <c r="X164" s="31" t="str">
        <f t="shared" si="44"/>
        <v/>
      </c>
      <c r="Y164" s="30" t="str">
        <f t="shared" si="46"/>
        <v/>
      </c>
    </row>
    <row r="165" spans="1:25" x14ac:dyDescent="0.2">
      <c r="A165" s="2">
        <v>152</v>
      </c>
      <c r="B165" s="34">
        <f t="shared" si="47"/>
        <v>0</v>
      </c>
      <c r="C165" s="30" t="str">
        <f>IF(B165=0,"",IF('Imperial Data'!AG154&gt;=1, INDEX(Imperial_Incremental[], MATCH('Imperial Data'!AG154, Imperial_Incremental[Height], 1), MATCH('Cumulative Volumes Imperial'!$F$4, Imperial_Incremental[#Headers], 0)), 0))</f>
        <v/>
      </c>
      <c r="D165" s="30" t="str">
        <f>IF(B165=0,"",IF('Imperial Data'!AG154&gt;=1, INDEX(Imperial_Incremental[], MATCH('Imperial Data'!AG154, Imperial_Incremental[Height], 1), MATCH('Cumulative Volumes Imperial'!$F$4 &amp; "EC", Imperial_Incremental[#Headers], 0)), 0))</f>
        <v/>
      </c>
      <c r="E165" s="30" t="str">
        <f t="shared" si="32"/>
        <v/>
      </c>
      <c r="F165" s="30" t="str">
        <f t="shared" si="33"/>
        <v/>
      </c>
      <c r="G165" s="30" t="str">
        <f>IF(B165=0,"",IF('Cumulative Volumes Imperial'!$AQ$17=FALSE,I165,H165))</f>
        <v/>
      </c>
      <c r="H165" s="30" t="str">
        <f t="shared" si="34"/>
        <v/>
      </c>
      <c r="I165" s="30" t="str">
        <f t="shared" si="35"/>
        <v/>
      </c>
      <c r="J165" s="30" t="str">
        <f>IF(B165="","",IF('Cumulative Volumes Imperial'!$AQ$17=FALSE,L165,K165))</f>
        <v/>
      </c>
      <c r="K165" s="30" t="str">
        <f t="shared" si="36"/>
        <v/>
      </c>
      <c r="L165" s="30" t="str">
        <f t="shared" si="37"/>
        <v/>
      </c>
      <c r="M165" s="30" t="str">
        <f>IF($E$8+45+$E$9&gt;989,"FALSE",IF(B165="","",IF('Cumulative Volumes Imperial'!$AQ$17=FALSE,O165,N165)))</f>
        <v/>
      </c>
      <c r="N165" s="30" t="str">
        <f t="shared" si="38"/>
        <v/>
      </c>
      <c r="O165" s="30" t="str">
        <f>IF(B165=0,"",IF('Cumulative Volumes Imperial'!$AQ$17=FALSE,(V165*$E$4)+(W165*$E$5),N165))</f>
        <v/>
      </c>
      <c r="P165" s="30" t="str">
        <f>IF(B165=0,"",(((1/12)*'Imperial Data'!$AC$4*'Imperial Data'!$AC$5)-C165)*$H$6)</f>
        <v/>
      </c>
      <c r="Q165" s="30" t="str">
        <f t="shared" si="39"/>
        <v/>
      </c>
      <c r="R165" s="30" t="str">
        <f>IF(B165=0,"",(((1/12)*'Imperial Data'!$AC$5*'Imperial Data'!$AC$7)-D165)*$H$6)</f>
        <v/>
      </c>
      <c r="S165" s="30" t="str">
        <f t="shared" si="40"/>
        <v/>
      </c>
      <c r="T165" s="30" t="str">
        <f t="shared" si="41"/>
        <v/>
      </c>
      <c r="U165" s="30" t="str">
        <f t="shared" si="42"/>
        <v/>
      </c>
      <c r="V165" s="30" t="str">
        <f t="shared" si="43"/>
        <v/>
      </c>
      <c r="W165" s="30" t="str">
        <f t="shared" si="45"/>
        <v/>
      </c>
      <c r="X165" s="31" t="str">
        <f t="shared" si="44"/>
        <v/>
      </c>
      <c r="Y165" s="30" t="str">
        <f t="shared" si="46"/>
        <v/>
      </c>
    </row>
    <row r="166" spans="1:25" x14ac:dyDescent="0.2">
      <c r="A166" s="2">
        <v>153</v>
      </c>
      <c r="B166" s="34">
        <f t="shared" si="47"/>
        <v>0</v>
      </c>
      <c r="C166" s="30" t="str">
        <f>IF(B166=0,"",IF('Imperial Data'!AG155&gt;=1, INDEX(Imperial_Incremental[], MATCH('Imperial Data'!AG155, Imperial_Incremental[Height], 1), MATCH('Cumulative Volumes Imperial'!$F$4, Imperial_Incremental[#Headers], 0)), 0))</f>
        <v/>
      </c>
      <c r="D166" s="30" t="str">
        <f>IF(B166=0,"",IF('Imperial Data'!AG155&gt;=1, INDEX(Imperial_Incremental[], MATCH('Imperial Data'!AG155, Imperial_Incremental[Height], 1), MATCH('Cumulative Volumes Imperial'!$F$4 &amp; "EC", Imperial_Incremental[#Headers], 0)), 0))</f>
        <v/>
      </c>
      <c r="E166" s="30" t="str">
        <f t="shared" si="32"/>
        <v/>
      </c>
      <c r="F166" s="30" t="str">
        <f t="shared" si="33"/>
        <v/>
      </c>
      <c r="G166" s="30" t="str">
        <f>IF(B166=0,"",IF('Cumulative Volumes Imperial'!$AQ$17=FALSE,I166,H166))</f>
        <v/>
      </c>
      <c r="H166" s="30" t="str">
        <f t="shared" si="34"/>
        <v/>
      </c>
      <c r="I166" s="30" t="str">
        <f t="shared" si="35"/>
        <v/>
      </c>
      <c r="J166" s="30" t="str">
        <f>IF(B166="","",IF('Cumulative Volumes Imperial'!$AQ$17=FALSE,L166,K166))</f>
        <v/>
      </c>
      <c r="K166" s="30" t="str">
        <f t="shared" si="36"/>
        <v/>
      </c>
      <c r="L166" s="30" t="str">
        <f t="shared" si="37"/>
        <v/>
      </c>
      <c r="M166" s="30" t="str">
        <f>IF($E$8+45+$E$9&gt;989,"FALSE",IF(B166="","",IF('Cumulative Volumes Imperial'!$AQ$17=FALSE,O166,N166)))</f>
        <v/>
      </c>
      <c r="N166" s="30" t="str">
        <f t="shared" si="38"/>
        <v/>
      </c>
      <c r="O166" s="30" t="str">
        <f>IF(B166=0,"",IF('Cumulative Volumes Imperial'!$AQ$17=FALSE,(V166*$E$4)+(W166*$E$5),N166))</f>
        <v/>
      </c>
      <c r="P166" s="30" t="str">
        <f>IF(B166=0,"",(((1/12)*'Imperial Data'!$AC$4*'Imperial Data'!$AC$5)-C166)*$H$6)</f>
        <v/>
      </c>
      <c r="Q166" s="30" t="str">
        <f t="shared" si="39"/>
        <v/>
      </c>
      <c r="R166" s="30" t="str">
        <f>IF(B166=0,"",(((1/12)*'Imperial Data'!$AC$5*'Imperial Data'!$AC$7)-D166)*$H$6)</f>
        <v/>
      </c>
      <c r="S166" s="30" t="str">
        <f t="shared" si="40"/>
        <v/>
      </c>
      <c r="T166" s="30" t="str">
        <f t="shared" si="41"/>
        <v/>
      </c>
      <c r="U166" s="30" t="str">
        <f t="shared" si="42"/>
        <v/>
      </c>
      <c r="V166" s="30" t="str">
        <f t="shared" si="43"/>
        <v/>
      </c>
      <c r="W166" s="30" t="str">
        <f t="shared" si="45"/>
        <v/>
      </c>
      <c r="X166" s="31" t="str">
        <f t="shared" si="44"/>
        <v/>
      </c>
      <c r="Y166" s="30" t="str">
        <f t="shared" si="46"/>
        <v/>
      </c>
    </row>
    <row r="167" spans="1:25" x14ac:dyDescent="0.2">
      <c r="A167" s="2">
        <v>154</v>
      </c>
      <c r="B167" s="34">
        <f t="shared" si="47"/>
        <v>0</v>
      </c>
      <c r="C167" s="30" t="str">
        <f>IF(B167=0,"",IF('Imperial Data'!AG156&gt;=1, INDEX(Imperial_Incremental[], MATCH('Imperial Data'!AG156, Imperial_Incremental[Height], 1), MATCH('Cumulative Volumes Imperial'!$F$4, Imperial_Incremental[#Headers], 0)), 0))</f>
        <v/>
      </c>
      <c r="D167" s="30" t="str">
        <f>IF(B167=0,"",IF('Imperial Data'!AG156&gt;=1, INDEX(Imperial_Incremental[], MATCH('Imperial Data'!AG156, Imperial_Incremental[Height], 1), MATCH('Cumulative Volumes Imperial'!$F$4 &amp; "EC", Imperial_Incremental[#Headers], 0)), 0))</f>
        <v/>
      </c>
      <c r="E167" s="30" t="str">
        <f t="shared" si="32"/>
        <v/>
      </c>
      <c r="F167" s="30" t="str">
        <f t="shared" si="33"/>
        <v/>
      </c>
      <c r="G167" s="30" t="str">
        <f>IF(B167=0,"",IF('Cumulative Volumes Imperial'!$AQ$17=FALSE,I167,H167))</f>
        <v/>
      </c>
      <c r="H167" s="30" t="str">
        <f t="shared" si="34"/>
        <v/>
      </c>
      <c r="I167" s="30" t="str">
        <f t="shared" si="35"/>
        <v/>
      </c>
      <c r="J167" s="30" t="str">
        <f>IF(B167="","",IF('Cumulative Volumes Imperial'!$AQ$17=FALSE,L167,K167))</f>
        <v/>
      </c>
      <c r="K167" s="30" t="str">
        <f t="shared" si="36"/>
        <v/>
      </c>
      <c r="L167" s="30" t="str">
        <f t="shared" si="37"/>
        <v/>
      </c>
      <c r="M167" s="30" t="str">
        <f>IF($E$8+45+$E$9&gt;989,"FALSE",IF(B167="","",IF('Cumulative Volumes Imperial'!$AQ$17=FALSE,O167,N167)))</f>
        <v/>
      </c>
      <c r="N167" s="30" t="str">
        <f t="shared" si="38"/>
        <v/>
      </c>
      <c r="O167" s="30" t="str">
        <f>IF(B167=0,"",IF('Cumulative Volumes Imperial'!$AQ$17=FALSE,(V167*$E$4)+(W167*$E$5),N167))</f>
        <v/>
      </c>
      <c r="P167" s="30" t="str">
        <f>IF(B167=0,"",(((1/12)*'Imperial Data'!$AC$4*'Imperial Data'!$AC$5)-C167)*$H$6)</f>
        <v/>
      </c>
      <c r="Q167" s="30" t="str">
        <f t="shared" si="39"/>
        <v/>
      </c>
      <c r="R167" s="30" t="str">
        <f>IF(B167=0,"",(((1/12)*'Imperial Data'!$AC$5*'Imperial Data'!$AC$7)-D167)*$H$6)</f>
        <v/>
      </c>
      <c r="S167" s="30" t="str">
        <f t="shared" si="40"/>
        <v/>
      </c>
      <c r="T167" s="30" t="str">
        <f t="shared" si="41"/>
        <v/>
      </c>
      <c r="U167" s="30" t="str">
        <f t="shared" si="42"/>
        <v/>
      </c>
      <c r="V167" s="30" t="str">
        <f t="shared" si="43"/>
        <v/>
      </c>
      <c r="W167" s="30" t="str">
        <f t="shared" si="45"/>
        <v/>
      </c>
      <c r="X167" s="31" t="str">
        <f t="shared" si="44"/>
        <v/>
      </c>
      <c r="Y167" s="30" t="str">
        <f t="shared" si="46"/>
        <v/>
      </c>
    </row>
    <row r="168" spans="1:25" x14ac:dyDescent="0.2">
      <c r="A168" s="2">
        <v>155</v>
      </c>
      <c r="B168" s="34">
        <f t="shared" si="47"/>
        <v>0</v>
      </c>
      <c r="C168" s="30" t="str">
        <f>IF(B168=0,"",IF('Imperial Data'!AG157&gt;=1, INDEX(Imperial_Incremental[], MATCH('Imperial Data'!AG157, Imperial_Incremental[Height], 1), MATCH('Cumulative Volumes Imperial'!$F$4, Imperial_Incremental[#Headers], 0)), 0))</f>
        <v/>
      </c>
      <c r="D168" s="30" t="str">
        <f>IF(B168=0,"",IF('Imperial Data'!AG157&gt;=1, INDEX(Imperial_Incremental[], MATCH('Imperial Data'!AG157, Imperial_Incremental[Height], 1), MATCH('Cumulative Volumes Imperial'!$F$4 &amp; "EC", Imperial_Incremental[#Headers], 0)), 0))</f>
        <v/>
      </c>
      <c r="E168" s="30" t="str">
        <f t="shared" si="32"/>
        <v/>
      </c>
      <c r="F168" s="30" t="str">
        <f t="shared" si="33"/>
        <v/>
      </c>
      <c r="G168" s="30" t="str">
        <f>IF(B168=0,"",IF('Cumulative Volumes Imperial'!$AQ$17=FALSE,I168,H168))</f>
        <v/>
      </c>
      <c r="H168" s="30" t="str">
        <f t="shared" si="34"/>
        <v/>
      </c>
      <c r="I168" s="30" t="str">
        <f t="shared" si="35"/>
        <v/>
      </c>
      <c r="J168" s="30" t="str">
        <f>IF(B168="","",IF('Cumulative Volumes Imperial'!$AQ$17=FALSE,L168,K168))</f>
        <v/>
      </c>
      <c r="K168" s="30" t="str">
        <f t="shared" si="36"/>
        <v/>
      </c>
      <c r="L168" s="30" t="str">
        <f t="shared" si="37"/>
        <v/>
      </c>
      <c r="M168" s="30" t="str">
        <f>IF($E$8+45+$E$9&gt;989,"FALSE",IF(B168="","",IF('Cumulative Volumes Imperial'!$AQ$17=FALSE,O168,N168)))</f>
        <v/>
      </c>
      <c r="N168" s="30" t="str">
        <f t="shared" si="38"/>
        <v/>
      </c>
      <c r="O168" s="30" t="str">
        <f>IF(B168=0,"",IF('Cumulative Volumes Imperial'!$AQ$17=FALSE,(V168*$E$4)+(W168*$E$5),N168))</f>
        <v/>
      </c>
      <c r="P168" s="30" t="str">
        <f>IF(B168=0,"",(((1/12)*'Imperial Data'!$AC$4*'Imperial Data'!$AC$5)-C168)*$H$6)</f>
        <v/>
      </c>
      <c r="Q168" s="30" t="str">
        <f t="shared" si="39"/>
        <v/>
      </c>
      <c r="R168" s="30" t="str">
        <f>IF(B168=0,"",(((1/12)*'Imperial Data'!$AC$5*'Imperial Data'!$AC$7)-D168)*$H$6)</f>
        <v/>
      </c>
      <c r="S168" s="30" t="str">
        <f t="shared" si="40"/>
        <v/>
      </c>
      <c r="T168" s="30" t="str">
        <f t="shared" si="41"/>
        <v/>
      </c>
      <c r="U168" s="30" t="str">
        <f t="shared" si="42"/>
        <v/>
      </c>
      <c r="V168" s="30" t="str">
        <f t="shared" si="43"/>
        <v/>
      </c>
      <c r="W168" s="30" t="str">
        <f t="shared" si="45"/>
        <v/>
      </c>
      <c r="X168" s="31" t="str">
        <f t="shared" si="44"/>
        <v/>
      </c>
      <c r="Y168" s="30" t="str">
        <f t="shared" si="46"/>
        <v/>
      </c>
    </row>
    <row r="169" spans="1:25" x14ac:dyDescent="0.2">
      <c r="A169" s="2">
        <v>156</v>
      </c>
      <c r="B169" s="34">
        <f t="shared" si="47"/>
        <v>0</v>
      </c>
      <c r="C169" s="30" t="str">
        <f>IF(B169=0,"",IF('Imperial Data'!AG158&gt;=1, INDEX(Imperial_Incremental[], MATCH('Imperial Data'!AG158, Imperial_Incremental[Height], 1), MATCH('Cumulative Volumes Imperial'!$F$4, Imperial_Incremental[#Headers], 0)), 0))</f>
        <v/>
      </c>
      <c r="D169" s="30" t="str">
        <f>IF(B169=0,"",IF('Imperial Data'!AG158&gt;=1, INDEX(Imperial_Incremental[], MATCH('Imperial Data'!AG158, Imperial_Incremental[Height], 1), MATCH('Cumulative Volumes Imperial'!$F$4 &amp; "EC", Imperial_Incremental[#Headers], 0)), 0))</f>
        <v/>
      </c>
      <c r="E169" s="30" t="str">
        <f t="shared" si="32"/>
        <v/>
      </c>
      <c r="F169" s="30" t="str">
        <f t="shared" si="33"/>
        <v/>
      </c>
      <c r="G169" s="30" t="str">
        <f>IF(B169=0,"",IF('Cumulative Volumes Imperial'!$AQ$17=FALSE,I169,H169))</f>
        <v/>
      </c>
      <c r="H169" s="30" t="str">
        <f t="shared" si="34"/>
        <v/>
      </c>
      <c r="I169" s="30" t="str">
        <f t="shared" si="35"/>
        <v/>
      </c>
      <c r="J169" s="30" t="str">
        <f>IF(B169="","",IF('Cumulative Volumes Imperial'!$AQ$17=FALSE,L169,K169))</f>
        <v/>
      </c>
      <c r="K169" s="30" t="str">
        <f t="shared" si="36"/>
        <v/>
      </c>
      <c r="L169" s="30" t="str">
        <f t="shared" si="37"/>
        <v/>
      </c>
      <c r="M169" s="30" t="str">
        <f>IF($E$8+45+$E$9&gt;989,"FALSE",IF(B169="","",IF('Cumulative Volumes Imperial'!$AQ$17=FALSE,O169,N169)))</f>
        <v/>
      </c>
      <c r="N169" s="30" t="str">
        <f t="shared" si="38"/>
        <v/>
      </c>
      <c r="O169" s="30" t="str">
        <f>IF(B169=0,"",IF('Cumulative Volumes Imperial'!$AQ$17=FALSE,(V169*$E$4)+(W169*$E$5),N169))</f>
        <v/>
      </c>
      <c r="P169" s="30" t="str">
        <f>IF(B169=0,"",(((1/12)*'Imperial Data'!$AC$4*'Imperial Data'!$AC$5)-C169)*$H$6)</f>
        <v/>
      </c>
      <c r="Q169" s="30" t="str">
        <f t="shared" si="39"/>
        <v/>
      </c>
      <c r="R169" s="30" t="str">
        <f>IF(B169=0,"",(((1/12)*'Imperial Data'!$AC$5*'Imperial Data'!$AC$7)-D169)*$H$6)</f>
        <v/>
      </c>
      <c r="S169" s="30" t="str">
        <f t="shared" si="40"/>
        <v/>
      </c>
      <c r="T169" s="30" t="str">
        <f t="shared" si="41"/>
        <v/>
      </c>
      <c r="U169" s="30" t="str">
        <f t="shared" si="42"/>
        <v/>
      </c>
      <c r="V169" s="30" t="str">
        <f t="shared" si="43"/>
        <v/>
      </c>
      <c r="W169" s="30" t="str">
        <f t="shared" si="45"/>
        <v/>
      </c>
      <c r="X169" s="31" t="str">
        <f t="shared" si="44"/>
        <v/>
      </c>
      <c r="Y169" s="30" t="str">
        <f t="shared" si="46"/>
        <v/>
      </c>
    </row>
    <row r="170" spans="1:25" x14ac:dyDescent="0.2">
      <c r="A170" s="2">
        <v>157</v>
      </c>
      <c r="B170" s="34">
        <f t="shared" si="47"/>
        <v>0</v>
      </c>
      <c r="C170" s="30" t="str">
        <f>IF(B170=0,"",IF('Imperial Data'!AG159&gt;=1, INDEX(Imperial_Incremental[], MATCH('Imperial Data'!AG159, Imperial_Incremental[Height], 1), MATCH('Cumulative Volumes Imperial'!$F$4, Imperial_Incremental[#Headers], 0)), 0))</f>
        <v/>
      </c>
      <c r="D170" s="30" t="str">
        <f>IF(B170=0,"",IF('Imperial Data'!AG159&gt;=1, INDEX(Imperial_Incremental[], MATCH('Imperial Data'!AG159, Imperial_Incremental[Height], 1), MATCH('Cumulative Volumes Imperial'!$F$4 &amp; "EC", Imperial_Incremental[#Headers], 0)), 0))</f>
        <v/>
      </c>
      <c r="E170" s="30" t="str">
        <f t="shared" si="32"/>
        <v/>
      </c>
      <c r="F170" s="30" t="str">
        <f t="shared" si="33"/>
        <v/>
      </c>
      <c r="G170" s="30" t="str">
        <f>IF(B170=0,"",IF('Cumulative Volumes Imperial'!$AQ$17=FALSE,I170,H170))</f>
        <v/>
      </c>
      <c r="H170" s="30" t="str">
        <f t="shared" si="34"/>
        <v/>
      </c>
      <c r="I170" s="30" t="str">
        <f t="shared" si="35"/>
        <v/>
      </c>
      <c r="J170" s="30" t="str">
        <f>IF(B170="","",IF('Cumulative Volumes Imperial'!$AQ$17=FALSE,L170,K170))</f>
        <v/>
      </c>
      <c r="K170" s="30" t="str">
        <f t="shared" si="36"/>
        <v/>
      </c>
      <c r="L170" s="30" t="str">
        <f t="shared" si="37"/>
        <v/>
      </c>
      <c r="M170" s="30" t="str">
        <f>IF($E$8+45+$E$9&gt;989,"FALSE",IF(B170="","",IF('Cumulative Volumes Imperial'!$AQ$17=FALSE,O170,N170)))</f>
        <v/>
      </c>
      <c r="N170" s="30" t="str">
        <f t="shared" si="38"/>
        <v/>
      </c>
      <c r="O170" s="30" t="str">
        <f>IF(B170=0,"",IF('Cumulative Volumes Imperial'!$AQ$17=FALSE,(V170*$E$4)+(W170*$E$5),N170))</f>
        <v/>
      </c>
      <c r="P170" s="30" t="str">
        <f>IF(B170=0,"",(((1/12)*'Imperial Data'!$AC$4*'Imperial Data'!$AC$5)-C170)*$H$6)</f>
        <v/>
      </c>
      <c r="Q170" s="30" t="str">
        <f t="shared" si="39"/>
        <v/>
      </c>
      <c r="R170" s="30" t="str">
        <f>IF(B170=0,"",(((1/12)*'Imperial Data'!$AC$5*'Imperial Data'!$AC$7)-D170)*$H$6)</f>
        <v/>
      </c>
      <c r="S170" s="30" t="str">
        <f t="shared" si="40"/>
        <v/>
      </c>
      <c r="T170" s="30" t="str">
        <f t="shared" si="41"/>
        <v/>
      </c>
      <c r="U170" s="30" t="str">
        <f t="shared" si="42"/>
        <v/>
      </c>
      <c r="V170" s="30" t="str">
        <f t="shared" si="43"/>
        <v/>
      </c>
      <c r="W170" s="30" t="str">
        <f t="shared" si="45"/>
        <v/>
      </c>
      <c r="X170" s="31" t="str">
        <f t="shared" si="44"/>
        <v/>
      </c>
      <c r="Y170" s="30" t="str">
        <f t="shared" si="46"/>
        <v/>
      </c>
    </row>
    <row r="171" spans="1:25" x14ac:dyDescent="0.2">
      <c r="A171" s="2">
        <v>158</v>
      </c>
      <c r="B171" s="34">
        <f t="shared" si="47"/>
        <v>0</v>
      </c>
      <c r="C171" s="30" t="str">
        <f>IF(B171=0,"",IF('Imperial Data'!AG160&gt;=1, INDEX(Imperial_Incremental[], MATCH('Imperial Data'!AG160, Imperial_Incremental[Height], 1), MATCH('Cumulative Volumes Imperial'!$F$4, Imperial_Incremental[#Headers], 0)), 0))</f>
        <v/>
      </c>
      <c r="D171" s="30" t="str">
        <f>IF(B171=0,"",IF('Imperial Data'!AG160&gt;=1, INDEX(Imperial_Incremental[], MATCH('Imperial Data'!AG160, Imperial_Incremental[Height], 1), MATCH('Cumulative Volumes Imperial'!$F$4 &amp; "EC", Imperial_Incremental[#Headers], 0)), 0))</f>
        <v/>
      </c>
      <c r="E171" s="30" t="str">
        <f t="shared" si="32"/>
        <v/>
      </c>
      <c r="F171" s="30" t="str">
        <f t="shared" si="33"/>
        <v/>
      </c>
      <c r="G171" s="30" t="str">
        <f>IF(B171=0,"",IF('Cumulative Volumes Imperial'!$AQ$17=FALSE,I171,H171))</f>
        <v/>
      </c>
      <c r="H171" s="30" t="str">
        <f t="shared" si="34"/>
        <v/>
      </c>
      <c r="I171" s="30" t="str">
        <f t="shared" si="35"/>
        <v/>
      </c>
      <c r="J171" s="30" t="str">
        <f>IF(B171="","",IF('Cumulative Volumes Imperial'!$AQ$17=FALSE,L171,K171))</f>
        <v/>
      </c>
      <c r="K171" s="30" t="str">
        <f t="shared" si="36"/>
        <v/>
      </c>
      <c r="L171" s="30" t="str">
        <f t="shared" si="37"/>
        <v/>
      </c>
      <c r="M171" s="30" t="str">
        <f>IF($E$8+45+$E$9&gt;989,"FALSE",IF(B171="","",IF('Cumulative Volumes Imperial'!$AQ$17=FALSE,O171,N171)))</f>
        <v/>
      </c>
      <c r="N171" s="30" t="str">
        <f t="shared" si="38"/>
        <v/>
      </c>
      <c r="O171" s="30" t="str">
        <f>IF(B171=0,"",IF('Cumulative Volumes Imperial'!$AQ$17=FALSE,(V171*$E$4)+(W171*$E$5),N171))</f>
        <v/>
      </c>
      <c r="P171" s="30" t="str">
        <f>IF(B171=0,"",(((1/12)*'Imperial Data'!$AC$4*'Imperial Data'!$AC$5)-C171)*$H$6)</f>
        <v/>
      </c>
      <c r="Q171" s="30" t="str">
        <f t="shared" si="39"/>
        <v/>
      </c>
      <c r="R171" s="30" t="str">
        <f>IF(B171=0,"",(((1/12)*'Imperial Data'!$AC$5*'Imperial Data'!$AC$7)-D171)*$H$6)</f>
        <v/>
      </c>
      <c r="S171" s="30" t="str">
        <f t="shared" si="40"/>
        <v/>
      </c>
      <c r="T171" s="30" t="str">
        <f t="shared" si="41"/>
        <v/>
      </c>
      <c r="U171" s="30" t="str">
        <f t="shared" si="42"/>
        <v/>
      </c>
      <c r="V171" s="30" t="str">
        <f t="shared" si="43"/>
        <v/>
      </c>
      <c r="W171" s="30" t="str">
        <f t="shared" si="45"/>
        <v/>
      </c>
      <c r="X171" s="31" t="str">
        <f t="shared" si="44"/>
        <v/>
      </c>
      <c r="Y171" s="30" t="str">
        <f t="shared" si="46"/>
        <v/>
      </c>
    </row>
    <row r="172" spans="1:25" x14ac:dyDescent="0.2">
      <c r="A172" s="2">
        <v>159</v>
      </c>
      <c r="B172" s="34">
        <f t="shared" si="47"/>
        <v>0</v>
      </c>
      <c r="C172" s="30" t="str">
        <f>IF(B172=0,"",IF('Imperial Data'!AG161&gt;=1, INDEX(Imperial_Incremental[], MATCH('Imperial Data'!AG161, Imperial_Incremental[Height], 1), MATCH('Cumulative Volumes Imperial'!$F$4, Imperial_Incremental[#Headers], 0)), 0))</f>
        <v/>
      </c>
      <c r="D172" s="30" t="str">
        <f>IF(B172=0,"",IF('Imperial Data'!AG161&gt;=1, INDEX(Imperial_Incremental[], MATCH('Imperial Data'!AG161, Imperial_Incremental[Height], 1), MATCH('Cumulative Volumes Imperial'!$F$4 &amp; "EC", Imperial_Incremental[#Headers], 0)), 0))</f>
        <v/>
      </c>
      <c r="E172" s="30" t="str">
        <f t="shared" si="32"/>
        <v/>
      </c>
      <c r="F172" s="30" t="str">
        <f t="shared" si="33"/>
        <v/>
      </c>
      <c r="G172" s="30" t="str">
        <f>IF(B172=0,"",IF('Cumulative Volumes Imperial'!$AQ$17=FALSE,I172,H172))</f>
        <v/>
      </c>
      <c r="H172" s="30" t="str">
        <f t="shared" si="34"/>
        <v/>
      </c>
      <c r="I172" s="30" t="str">
        <f t="shared" si="35"/>
        <v/>
      </c>
      <c r="J172" s="30" t="str">
        <f>IF(B172="","",IF('Cumulative Volumes Imperial'!$AQ$17=FALSE,L172,K172))</f>
        <v/>
      </c>
      <c r="K172" s="30" t="str">
        <f t="shared" si="36"/>
        <v/>
      </c>
      <c r="L172" s="30" t="str">
        <f t="shared" si="37"/>
        <v/>
      </c>
      <c r="M172" s="30" t="str">
        <f>IF($E$8+45+$E$9&gt;989,"FALSE",IF(B172="","",IF('Cumulative Volumes Imperial'!$AQ$17=FALSE,O172,N172)))</f>
        <v/>
      </c>
      <c r="N172" s="30" t="str">
        <f t="shared" si="38"/>
        <v/>
      </c>
      <c r="O172" s="30" t="str">
        <f>IF(B172=0,"",IF('Cumulative Volumes Imperial'!$AQ$17=FALSE,(V172*$E$4)+(W172*$E$5),N172))</f>
        <v/>
      </c>
      <c r="P172" s="30" t="str">
        <f>IF(B172=0,"",(((1/12)*'Imperial Data'!$AC$4*'Imperial Data'!$AC$5)-C172)*$H$6)</f>
        <v/>
      </c>
      <c r="Q172" s="30" t="str">
        <f t="shared" si="39"/>
        <v/>
      </c>
      <c r="R172" s="30" t="str">
        <f>IF(B172=0,"",(((1/12)*'Imperial Data'!$AC$5*'Imperial Data'!$AC$7)-D172)*$H$6)</f>
        <v/>
      </c>
      <c r="S172" s="30" t="str">
        <f t="shared" si="40"/>
        <v/>
      </c>
      <c r="T172" s="30" t="str">
        <f t="shared" si="41"/>
        <v/>
      </c>
      <c r="U172" s="30" t="str">
        <f t="shared" si="42"/>
        <v/>
      </c>
      <c r="V172" s="30" t="str">
        <f t="shared" si="43"/>
        <v/>
      </c>
      <c r="W172" s="30" t="str">
        <f t="shared" si="45"/>
        <v/>
      </c>
      <c r="X172" s="31" t="str">
        <f t="shared" si="44"/>
        <v/>
      </c>
      <c r="Y172" s="30" t="str">
        <f t="shared" si="46"/>
        <v/>
      </c>
    </row>
    <row r="173" spans="1:25" x14ac:dyDescent="0.2">
      <c r="A173" s="2">
        <v>160</v>
      </c>
      <c r="B173" s="34">
        <f t="shared" si="47"/>
        <v>0</v>
      </c>
      <c r="C173" s="30" t="str">
        <f>IF(B173=0,"",IF('Imperial Data'!AG162&gt;=1, INDEX(Imperial_Incremental[], MATCH('Imperial Data'!AG162, Imperial_Incremental[Height], 1), MATCH('Cumulative Volumes Imperial'!$F$4, Imperial_Incremental[#Headers], 0)), 0))</f>
        <v/>
      </c>
      <c r="D173" s="30" t="str">
        <f>IF(B173=0,"",IF('Imperial Data'!AG162&gt;=1, INDEX(Imperial_Incremental[], MATCH('Imperial Data'!AG162, Imperial_Incremental[Height], 1), MATCH('Cumulative Volumes Imperial'!$F$4 &amp; "EC", Imperial_Incremental[#Headers], 0)), 0))</f>
        <v/>
      </c>
      <c r="E173" s="30" t="str">
        <f t="shared" si="32"/>
        <v/>
      </c>
      <c r="F173" s="30" t="str">
        <f t="shared" si="33"/>
        <v/>
      </c>
      <c r="G173" s="30" t="str">
        <f>IF(B173=0,"",IF('Cumulative Volumes Imperial'!$AQ$17=FALSE,I173,H173))</f>
        <v/>
      </c>
      <c r="H173" s="30" t="str">
        <f t="shared" si="34"/>
        <v/>
      </c>
      <c r="I173" s="30" t="str">
        <f t="shared" si="35"/>
        <v/>
      </c>
      <c r="J173" s="30" t="str">
        <f>IF(B173="","",IF('Cumulative Volumes Imperial'!$AQ$17=FALSE,L173,K173))</f>
        <v/>
      </c>
      <c r="K173" s="30" t="str">
        <f t="shared" si="36"/>
        <v/>
      </c>
      <c r="L173" s="30" t="str">
        <f t="shared" si="37"/>
        <v/>
      </c>
      <c r="M173" s="30" t="str">
        <f>IF($E$8+45+$E$9&gt;989,"FALSE",IF(B173="","",IF('Cumulative Volumes Imperial'!$AQ$17=FALSE,O173,N173)))</f>
        <v/>
      </c>
      <c r="N173" s="30" t="str">
        <f t="shared" si="38"/>
        <v/>
      </c>
      <c r="O173" s="30" t="str">
        <f>IF(B173=0,"",IF('Cumulative Volumes Imperial'!$AQ$17=FALSE,(V173*$E$4)+(W173*$E$5),N173))</f>
        <v/>
      </c>
      <c r="P173" s="30" t="str">
        <f>IF(B173=0,"",(((1/12)*'Imperial Data'!$AC$4*'Imperial Data'!$AC$5)-C173)*$H$6)</f>
        <v/>
      </c>
      <c r="Q173" s="30" t="str">
        <f t="shared" si="39"/>
        <v/>
      </c>
      <c r="R173" s="30" t="str">
        <f>IF(B173=0,"",(((1/12)*'Imperial Data'!$AC$5*'Imperial Data'!$AC$7)-D173)*$H$6)</f>
        <v/>
      </c>
      <c r="S173" s="30" t="str">
        <f t="shared" si="40"/>
        <v/>
      </c>
      <c r="T173" s="30" t="str">
        <f t="shared" si="41"/>
        <v/>
      </c>
      <c r="U173" s="30" t="str">
        <f t="shared" si="42"/>
        <v/>
      </c>
      <c r="V173" s="30" t="str">
        <f t="shared" si="43"/>
        <v/>
      </c>
      <c r="W173" s="30" t="str">
        <f t="shared" si="45"/>
        <v/>
      </c>
      <c r="X173" s="31" t="str">
        <f t="shared" si="44"/>
        <v/>
      </c>
      <c r="Y173" s="30" t="str">
        <f t="shared" si="46"/>
        <v/>
      </c>
    </row>
    <row r="174" spans="1:25" x14ac:dyDescent="0.2">
      <c r="A174" s="2">
        <v>161</v>
      </c>
      <c r="B174" s="34">
        <f t="shared" si="47"/>
        <v>0</v>
      </c>
      <c r="C174" s="30" t="str">
        <f>IF(B174=0,"",IF('Imperial Data'!AG163&gt;=1, INDEX(Imperial_Incremental[], MATCH('Imperial Data'!AG163, Imperial_Incremental[Height], 1), MATCH('Cumulative Volumes Imperial'!$F$4, Imperial_Incremental[#Headers], 0)), 0))</f>
        <v/>
      </c>
      <c r="D174" s="30" t="str">
        <f>IF(B174=0,"",IF('Imperial Data'!AG163&gt;=1, INDEX(Imperial_Incremental[], MATCH('Imperial Data'!AG163, Imperial_Incremental[Height], 1), MATCH('Cumulative Volumes Imperial'!$F$4 &amp; "EC", Imperial_Incremental[#Headers], 0)), 0))</f>
        <v/>
      </c>
      <c r="E174" s="30" t="str">
        <f t="shared" si="32"/>
        <v/>
      </c>
      <c r="F174" s="30" t="str">
        <f t="shared" si="33"/>
        <v/>
      </c>
      <c r="G174" s="30" t="str">
        <f>IF(B174=0,"",IF('Cumulative Volumes Imperial'!$AQ$17=FALSE,I174,H174))</f>
        <v/>
      </c>
      <c r="H174" s="30" t="str">
        <f t="shared" si="34"/>
        <v/>
      </c>
      <c r="I174" s="30" t="str">
        <f t="shared" si="35"/>
        <v/>
      </c>
      <c r="J174" s="30" t="str">
        <f>IF(B174="","",IF('Cumulative Volumes Imperial'!$AQ$17=FALSE,L174,K174))</f>
        <v/>
      </c>
      <c r="K174" s="30" t="str">
        <f t="shared" si="36"/>
        <v/>
      </c>
      <c r="L174" s="30" t="str">
        <f t="shared" si="37"/>
        <v/>
      </c>
      <c r="M174" s="30" t="str">
        <f>IF($E$8+45+$E$9&gt;989,"FALSE",IF(B174="","",IF('Cumulative Volumes Imperial'!$AQ$17=FALSE,O174,N174)))</f>
        <v/>
      </c>
      <c r="N174" s="30" t="str">
        <f t="shared" si="38"/>
        <v/>
      </c>
      <c r="O174" s="30" t="str">
        <f>IF(B174=0,"",IF('Cumulative Volumes Imperial'!$AQ$17=FALSE,(V174*$E$4)+(W174*$E$5),N174))</f>
        <v/>
      </c>
      <c r="P174" s="30" t="str">
        <f>IF(B174=0,"",(((1/12)*'Imperial Data'!$AC$4*'Imperial Data'!$AC$5)-C174)*$H$6)</f>
        <v/>
      </c>
      <c r="Q174" s="30" t="str">
        <f t="shared" si="39"/>
        <v/>
      </c>
      <c r="R174" s="30" t="str">
        <f>IF(B174=0,"",(((1/12)*'Imperial Data'!$AC$5*'Imperial Data'!$AC$7)-D174)*$H$6)</f>
        <v/>
      </c>
      <c r="S174" s="30" t="str">
        <f t="shared" si="40"/>
        <v/>
      </c>
      <c r="T174" s="30" t="str">
        <f t="shared" si="41"/>
        <v/>
      </c>
      <c r="U174" s="30" t="str">
        <f t="shared" si="42"/>
        <v/>
      </c>
      <c r="V174" s="30" t="str">
        <f t="shared" si="43"/>
        <v/>
      </c>
      <c r="W174" s="30" t="str">
        <f t="shared" si="45"/>
        <v/>
      </c>
      <c r="X174" s="31" t="str">
        <f t="shared" si="44"/>
        <v/>
      </c>
      <c r="Y174" s="30" t="str">
        <f t="shared" si="46"/>
        <v/>
      </c>
    </row>
    <row r="175" spans="1:25" x14ac:dyDescent="0.2">
      <c r="A175" s="2">
        <v>162</v>
      </c>
      <c r="B175" s="34">
        <f t="shared" si="47"/>
        <v>0</v>
      </c>
      <c r="C175" s="30" t="str">
        <f>IF(B175=0,"",IF('Imperial Data'!AG164&gt;=1, INDEX(Imperial_Incremental[], MATCH('Imperial Data'!AG164, Imperial_Incremental[Height], 1), MATCH('Cumulative Volumes Imperial'!$F$4, Imperial_Incremental[#Headers], 0)), 0))</f>
        <v/>
      </c>
      <c r="D175" s="30" t="str">
        <f>IF(B175=0,"",IF('Imperial Data'!AG164&gt;=1, INDEX(Imperial_Incremental[], MATCH('Imperial Data'!AG164, Imperial_Incremental[Height], 1), MATCH('Cumulative Volumes Imperial'!$F$4 &amp; "EC", Imperial_Incremental[#Headers], 0)), 0))</f>
        <v/>
      </c>
      <c r="E175" s="30" t="str">
        <f t="shared" si="32"/>
        <v/>
      </c>
      <c r="F175" s="30" t="str">
        <f t="shared" si="33"/>
        <v/>
      </c>
      <c r="G175" s="30" t="str">
        <f>IF(B175=0,"",IF('Cumulative Volumes Imperial'!$AQ$17=FALSE,I175,H175))</f>
        <v/>
      </c>
      <c r="H175" s="30" t="str">
        <f t="shared" si="34"/>
        <v/>
      </c>
      <c r="I175" s="30" t="str">
        <f t="shared" si="35"/>
        <v/>
      </c>
      <c r="J175" s="30" t="str">
        <f>IF(B175="","",IF('Cumulative Volumes Imperial'!$AQ$17=FALSE,L175,K175))</f>
        <v/>
      </c>
      <c r="K175" s="30" t="str">
        <f t="shared" si="36"/>
        <v/>
      </c>
      <c r="L175" s="30" t="str">
        <f t="shared" si="37"/>
        <v/>
      </c>
      <c r="M175" s="30" t="str">
        <f>IF($E$8+45+$E$9&gt;989,"FALSE",IF(B175="","",IF('Cumulative Volumes Imperial'!$AQ$17=FALSE,O175,N175)))</f>
        <v/>
      </c>
      <c r="N175" s="30" t="str">
        <f t="shared" si="38"/>
        <v/>
      </c>
      <c r="O175" s="30" t="str">
        <f>IF(B175=0,"",IF('Cumulative Volumes Imperial'!$AQ$17=FALSE,(V175*$E$4)+(W175*$E$5),N175))</f>
        <v/>
      </c>
      <c r="P175" s="30" t="str">
        <f>IF(B175=0,"",(((1/12)*'Imperial Data'!$AC$4*'Imperial Data'!$AC$5)-C175)*$H$6)</f>
        <v/>
      </c>
      <c r="Q175" s="30" t="str">
        <f t="shared" si="39"/>
        <v/>
      </c>
      <c r="R175" s="30" t="str">
        <f>IF(B175=0,"",(((1/12)*'Imperial Data'!$AC$5*'Imperial Data'!$AC$7)-D175)*$H$6)</f>
        <v/>
      </c>
      <c r="S175" s="30" t="str">
        <f t="shared" si="40"/>
        <v/>
      </c>
      <c r="T175" s="30" t="str">
        <f t="shared" si="41"/>
        <v/>
      </c>
      <c r="U175" s="30" t="str">
        <f t="shared" si="42"/>
        <v/>
      </c>
      <c r="V175" s="30" t="str">
        <f t="shared" si="43"/>
        <v/>
      </c>
      <c r="W175" s="30" t="str">
        <f t="shared" si="45"/>
        <v/>
      </c>
      <c r="X175" s="31" t="str">
        <f t="shared" si="44"/>
        <v/>
      </c>
      <c r="Y175" s="30" t="str">
        <f t="shared" si="46"/>
        <v/>
      </c>
    </row>
    <row r="176" spans="1:25" x14ac:dyDescent="0.2">
      <c r="A176" s="2">
        <v>163</v>
      </c>
      <c r="B176" s="34">
        <f t="shared" si="47"/>
        <v>0</v>
      </c>
      <c r="C176" s="30" t="str">
        <f>IF(B176=0,"",IF('Imperial Data'!AG165&gt;=1, INDEX(Imperial_Incremental[], MATCH('Imperial Data'!AG165, Imperial_Incremental[Height], 1), MATCH('Cumulative Volumes Imperial'!$F$4, Imperial_Incremental[#Headers], 0)), 0))</f>
        <v/>
      </c>
      <c r="D176" s="30" t="str">
        <f>IF(B176=0,"",IF('Imperial Data'!AG165&gt;=1, INDEX(Imperial_Incremental[], MATCH('Imperial Data'!AG165, Imperial_Incremental[Height], 1), MATCH('Cumulative Volumes Imperial'!$F$4 &amp; "EC", Imperial_Incremental[#Headers], 0)), 0))</f>
        <v/>
      </c>
      <c r="E176" s="30" t="str">
        <f t="shared" si="32"/>
        <v/>
      </c>
      <c r="F176" s="30" t="str">
        <f t="shared" si="33"/>
        <v/>
      </c>
      <c r="G176" s="30" t="str">
        <f>IF(B176=0,"",IF('Cumulative Volumes Imperial'!$AQ$17=FALSE,I176,H176))</f>
        <v/>
      </c>
      <c r="H176" s="30" t="str">
        <f t="shared" si="34"/>
        <v/>
      </c>
      <c r="I176" s="30" t="str">
        <f t="shared" si="35"/>
        <v/>
      </c>
      <c r="J176" s="30" t="str">
        <f>IF(B176="","",IF('Cumulative Volumes Imperial'!$AQ$17=FALSE,L176,K176))</f>
        <v/>
      </c>
      <c r="K176" s="30" t="str">
        <f t="shared" si="36"/>
        <v/>
      </c>
      <c r="L176" s="30" t="str">
        <f t="shared" si="37"/>
        <v/>
      </c>
      <c r="M176" s="30" t="str">
        <f>IF($E$8+45+$E$9&gt;989,"FALSE",IF(B176="","",IF('Cumulative Volumes Imperial'!$AQ$17=FALSE,O176,N176)))</f>
        <v/>
      </c>
      <c r="N176" s="30" t="str">
        <f t="shared" si="38"/>
        <v/>
      </c>
      <c r="O176" s="30" t="str">
        <f>IF(B176=0,"",IF('Cumulative Volumes Imperial'!$AQ$17=FALSE,(V176*$E$4)+(W176*$E$5),N176))</f>
        <v/>
      </c>
      <c r="P176" s="30" t="str">
        <f>IF(B176=0,"",(((1/12)*'Imperial Data'!$AC$4*'Imperial Data'!$AC$5)-C176)*$H$6)</f>
        <v/>
      </c>
      <c r="Q176" s="30" t="str">
        <f t="shared" si="39"/>
        <v/>
      </c>
      <c r="R176" s="30" t="str">
        <f>IF(B176=0,"",(((1/12)*'Imperial Data'!$AC$5*'Imperial Data'!$AC$7)-D176)*$H$6)</f>
        <v/>
      </c>
      <c r="S176" s="30" t="str">
        <f t="shared" si="40"/>
        <v/>
      </c>
      <c r="T176" s="30" t="str">
        <f t="shared" si="41"/>
        <v/>
      </c>
      <c r="U176" s="30" t="str">
        <f t="shared" si="42"/>
        <v/>
      </c>
      <c r="V176" s="30" t="str">
        <f t="shared" si="43"/>
        <v/>
      </c>
      <c r="W176" s="30" t="str">
        <f t="shared" si="45"/>
        <v/>
      </c>
      <c r="X176" s="31" t="str">
        <f t="shared" si="44"/>
        <v/>
      </c>
      <c r="Y176" s="30" t="str">
        <f t="shared" si="46"/>
        <v/>
      </c>
    </row>
    <row r="177" spans="1:25" x14ac:dyDescent="0.2">
      <c r="A177" s="2">
        <v>164</v>
      </c>
      <c r="B177" s="34">
        <f t="shared" si="47"/>
        <v>0</v>
      </c>
      <c r="C177" s="30" t="str">
        <f>IF(B177=0,"",IF('Imperial Data'!AG166&gt;=1, INDEX(Imperial_Incremental[], MATCH('Imperial Data'!AG166, Imperial_Incremental[Height], 1), MATCH('Cumulative Volumes Imperial'!$F$4, Imperial_Incremental[#Headers], 0)), 0))</f>
        <v/>
      </c>
      <c r="D177" s="30" t="str">
        <f>IF(B177=0,"",IF('Imperial Data'!AG166&gt;=1, INDEX(Imperial_Incremental[], MATCH('Imperial Data'!AG166, Imperial_Incremental[Height], 1), MATCH('Cumulative Volumes Imperial'!$F$4 &amp; "EC", Imperial_Incremental[#Headers], 0)), 0))</f>
        <v/>
      </c>
      <c r="E177" s="30" t="str">
        <f t="shared" si="32"/>
        <v/>
      </c>
      <c r="F177" s="30" t="str">
        <f t="shared" si="33"/>
        <v/>
      </c>
      <c r="G177" s="30" t="str">
        <f>IF(B177=0,"",IF('Cumulative Volumes Imperial'!$AQ$17=FALSE,I177,H177))</f>
        <v/>
      </c>
      <c r="H177" s="30" t="str">
        <f t="shared" si="34"/>
        <v/>
      </c>
      <c r="I177" s="30" t="str">
        <f t="shared" si="35"/>
        <v/>
      </c>
      <c r="J177" s="30" t="str">
        <f>IF(B177="","",IF('Cumulative Volumes Imperial'!$AQ$17=FALSE,L177,K177))</f>
        <v/>
      </c>
      <c r="K177" s="30" t="str">
        <f t="shared" si="36"/>
        <v/>
      </c>
      <c r="L177" s="30" t="str">
        <f t="shared" si="37"/>
        <v/>
      </c>
      <c r="M177" s="30" t="str">
        <f>IF($E$8+45+$E$9&gt;989,"FALSE",IF(B177="","",IF('Cumulative Volumes Imperial'!$AQ$17=FALSE,O177,N177)))</f>
        <v/>
      </c>
      <c r="N177" s="30" t="str">
        <f t="shared" si="38"/>
        <v/>
      </c>
      <c r="O177" s="30" t="str">
        <f>IF(B177=0,"",IF('Cumulative Volumes Imperial'!$AQ$17=FALSE,(V177*$E$4)+(W177*$E$5),N177))</f>
        <v/>
      </c>
      <c r="P177" s="30" t="str">
        <f>IF(B177=0,"",(((1/12)*'Imperial Data'!$AC$4*'Imperial Data'!$AC$5)-C177)*$H$6)</f>
        <v/>
      </c>
      <c r="Q177" s="30" t="str">
        <f t="shared" si="39"/>
        <v/>
      </c>
      <c r="R177" s="30" t="str">
        <f>IF(B177=0,"",(((1/12)*'Imperial Data'!$AC$5*'Imperial Data'!$AC$7)-D177)*$H$6)</f>
        <v/>
      </c>
      <c r="S177" s="30" t="str">
        <f t="shared" si="40"/>
        <v/>
      </c>
      <c r="T177" s="30" t="str">
        <f t="shared" si="41"/>
        <v/>
      </c>
      <c r="U177" s="30" t="str">
        <f t="shared" si="42"/>
        <v/>
      </c>
      <c r="V177" s="30" t="str">
        <f t="shared" si="43"/>
        <v/>
      </c>
      <c r="W177" s="30" t="str">
        <f t="shared" si="45"/>
        <v/>
      </c>
      <c r="X177" s="31" t="str">
        <f t="shared" si="44"/>
        <v/>
      </c>
      <c r="Y177" s="30" t="str">
        <f t="shared" si="46"/>
        <v/>
      </c>
    </row>
    <row r="178" spans="1:25" x14ac:dyDescent="0.2">
      <c r="A178" s="2">
        <v>165</v>
      </c>
      <c r="B178" s="34">
        <f t="shared" si="47"/>
        <v>0</v>
      </c>
      <c r="C178" s="30" t="str">
        <f>IF(B178=0,"",IF('Imperial Data'!AG167&gt;=1, INDEX(Imperial_Incremental[], MATCH('Imperial Data'!AG167, Imperial_Incremental[Height], 1), MATCH('Cumulative Volumes Imperial'!$F$4, Imperial_Incremental[#Headers], 0)), 0))</f>
        <v/>
      </c>
      <c r="D178" s="30" t="str">
        <f>IF(B178=0,"",IF('Imperial Data'!AG167&gt;=1, INDEX(Imperial_Incremental[], MATCH('Imperial Data'!AG167, Imperial_Incremental[Height], 1), MATCH('Cumulative Volumes Imperial'!$F$4 &amp; "EC", Imperial_Incremental[#Headers], 0)), 0))</f>
        <v/>
      </c>
      <c r="E178" s="30" t="str">
        <f t="shared" si="32"/>
        <v/>
      </c>
      <c r="F178" s="30" t="str">
        <f t="shared" si="33"/>
        <v/>
      </c>
      <c r="G178" s="30" t="str">
        <f>IF(B178=0,"",IF('Cumulative Volumes Imperial'!$AQ$17=FALSE,I178,H178))</f>
        <v/>
      </c>
      <c r="H178" s="30" t="str">
        <f t="shared" si="34"/>
        <v/>
      </c>
      <c r="I178" s="30" t="str">
        <f t="shared" si="35"/>
        <v/>
      </c>
      <c r="J178" s="30" t="str">
        <f>IF(B178="","",IF('Cumulative Volumes Imperial'!$AQ$17=FALSE,L178,K178))</f>
        <v/>
      </c>
      <c r="K178" s="30" t="str">
        <f t="shared" si="36"/>
        <v/>
      </c>
      <c r="L178" s="30" t="str">
        <f t="shared" si="37"/>
        <v/>
      </c>
      <c r="M178" s="30" t="str">
        <f>IF($E$8+45+$E$9&gt;989,"FALSE",IF(B178="","",IF('Cumulative Volumes Imperial'!$AQ$17=FALSE,O178,N178)))</f>
        <v/>
      </c>
      <c r="N178" s="30" t="str">
        <f t="shared" si="38"/>
        <v/>
      </c>
      <c r="O178" s="30" t="str">
        <f>IF(B178=0,"",IF('Cumulative Volumes Imperial'!$AQ$17=FALSE,(V178*$E$4)+(W178*$E$5),N178))</f>
        <v/>
      </c>
      <c r="P178" s="30" t="str">
        <f>IF(B178=0,"",(((1/12)*'Imperial Data'!$AC$4*'Imperial Data'!$AC$5)-C178)*$H$6)</f>
        <v/>
      </c>
      <c r="Q178" s="30" t="str">
        <f t="shared" si="39"/>
        <v/>
      </c>
      <c r="R178" s="30" t="str">
        <f>IF(B178=0,"",(((1/12)*'Imperial Data'!$AC$5*'Imperial Data'!$AC$7)-D178)*$H$6)</f>
        <v/>
      </c>
      <c r="S178" s="30" t="str">
        <f t="shared" si="40"/>
        <v/>
      </c>
      <c r="T178" s="30" t="str">
        <f t="shared" si="41"/>
        <v/>
      </c>
      <c r="U178" s="30" t="str">
        <f t="shared" si="42"/>
        <v/>
      </c>
      <c r="V178" s="30" t="str">
        <f t="shared" si="43"/>
        <v/>
      </c>
      <c r="W178" s="30" t="str">
        <f t="shared" si="45"/>
        <v/>
      </c>
      <c r="X178" s="31" t="str">
        <f t="shared" si="44"/>
        <v/>
      </c>
      <c r="Y178" s="30" t="str">
        <f t="shared" si="46"/>
        <v/>
      </c>
    </row>
    <row r="179" spans="1:25" x14ac:dyDescent="0.2">
      <c r="A179" s="2">
        <v>166</v>
      </c>
      <c r="B179" s="34">
        <f t="shared" si="47"/>
        <v>0</v>
      </c>
      <c r="C179" s="30" t="str">
        <f>IF(B179=0,"",IF('Imperial Data'!AG168&gt;=1, INDEX(Imperial_Incremental[], MATCH('Imperial Data'!AG168, Imperial_Incremental[Height], 1), MATCH('Cumulative Volumes Imperial'!$F$4, Imperial_Incremental[#Headers], 0)), 0))</f>
        <v/>
      </c>
      <c r="D179" s="30" t="str">
        <f>IF(B179=0,"",IF('Imperial Data'!AG168&gt;=1, INDEX(Imperial_Incremental[], MATCH('Imperial Data'!AG168, Imperial_Incremental[Height], 1), MATCH('Cumulative Volumes Imperial'!$F$4 &amp; "EC", Imperial_Incremental[#Headers], 0)), 0))</f>
        <v/>
      </c>
      <c r="E179" s="30" t="str">
        <f t="shared" si="32"/>
        <v/>
      </c>
      <c r="F179" s="30" t="str">
        <f t="shared" si="33"/>
        <v/>
      </c>
      <c r="G179" s="30" t="str">
        <f>IF(B179=0,"",IF('Cumulative Volumes Imperial'!$AQ$17=FALSE,I179,H179))</f>
        <v/>
      </c>
      <c r="H179" s="30" t="str">
        <f t="shared" si="34"/>
        <v/>
      </c>
      <c r="I179" s="30" t="str">
        <f t="shared" si="35"/>
        <v/>
      </c>
      <c r="J179" s="30" t="str">
        <f>IF(B179="","",IF('Cumulative Volumes Imperial'!$AQ$17=FALSE,L179,K179))</f>
        <v/>
      </c>
      <c r="K179" s="30" t="str">
        <f t="shared" si="36"/>
        <v/>
      </c>
      <c r="L179" s="30" t="str">
        <f t="shared" si="37"/>
        <v/>
      </c>
      <c r="M179" s="30" t="str">
        <f>IF($E$8+45+$E$9&gt;989,"FALSE",IF(B179="","",IF('Cumulative Volumes Imperial'!$AQ$17=FALSE,O179,N179)))</f>
        <v/>
      </c>
      <c r="N179" s="30" t="str">
        <f t="shared" si="38"/>
        <v/>
      </c>
      <c r="O179" s="30" t="str">
        <f>IF(B179=0,"",IF('Cumulative Volumes Imperial'!$AQ$17=FALSE,(V179*$E$4)+(W179*$E$5),N179))</f>
        <v/>
      </c>
      <c r="P179" s="30" t="str">
        <f>IF(B179=0,"",(((1/12)*'Imperial Data'!$AC$4*'Imperial Data'!$AC$5)-C179)*$H$6)</f>
        <v/>
      </c>
      <c r="Q179" s="30" t="str">
        <f t="shared" si="39"/>
        <v/>
      </c>
      <c r="R179" s="30" t="str">
        <f>IF(B179=0,"",(((1/12)*'Imperial Data'!$AC$5*'Imperial Data'!$AC$7)-D179)*$H$6)</f>
        <v/>
      </c>
      <c r="S179" s="30" t="str">
        <f t="shared" si="40"/>
        <v/>
      </c>
      <c r="T179" s="30" t="str">
        <f t="shared" si="41"/>
        <v/>
      </c>
      <c r="U179" s="30" t="str">
        <f t="shared" si="42"/>
        <v/>
      </c>
      <c r="V179" s="30" t="str">
        <f t="shared" si="43"/>
        <v/>
      </c>
      <c r="W179" s="30" t="str">
        <f t="shared" si="45"/>
        <v/>
      </c>
      <c r="X179" s="31" t="str">
        <f t="shared" si="44"/>
        <v/>
      </c>
      <c r="Y179" s="30" t="str">
        <f t="shared" si="46"/>
        <v/>
      </c>
    </row>
    <row r="180" spans="1:25" x14ac:dyDescent="0.2">
      <c r="A180" s="2">
        <v>167</v>
      </c>
      <c r="B180" s="34">
        <f t="shared" si="47"/>
        <v>0</v>
      </c>
      <c r="C180" s="30" t="str">
        <f>IF(B180=0,"",IF('Imperial Data'!AG169&gt;=1, INDEX(Imperial_Incremental[], MATCH('Imperial Data'!AG169, Imperial_Incremental[Height], 1), MATCH('Cumulative Volumes Imperial'!$F$4, Imperial_Incremental[#Headers], 0)), 0))</f>
        <v/>
      </c>
      <c r="D180" s="30" t="str">
        <f>IF(B180=0,"",IF('Imperial Data'!AG169&gt;=1, INDEX(Imperial_Incremental[], MATCH('Imperial Data'!AG169, Imperial_Incremental[Height], 1), MATCH('Cumulative Volumes Imperial'!$F$4 &amp; "EC", Imperial_Incremental[#Headers], 0)), 0))</f>
        <v/>
      </c>
      <c r="E180" s="30" t="str">
        <f t="shared" si="32"/>
        <v/>
      </c>
      <c r="F180" s="30" t="str">
        <f t="shared" si="33"/>
        <v/>
      </c>
      <c r="G180" s="30" t="str">
        <f>IF(B180=0,"",IF('Cumulative Volumes Imperial'!$AQ$17=FALSE,I180,H180))</f>
        <v/>
      </c>
      <c r="H180" s="30" t="str">
        <f t="shared" si="34"/>
        <v/>
      </c>
      <c r="I180" s="30" t="str">
        <f t="shared" si="35"/>
        <v/>
      </c>
      <c r="J180" s="30" t="str">
        <f>IF(B180="","",IF('Cumulative Volumes Imperial'!$AQ$17=FALSE,L180,K180))</f>
        <v/>
      </c>
      <c r="K180" s="30" t="str">
        <f t="shared" si="36"/>
        <v/>
      </c>
      <c r="L180" s="30" t="str">
        <f t="shared" si="37"/>
        <v/>
      </c>
      <c r="M180" s="30" t="str">
        <f>IF($E$8+45+$E$9&gt;989,"FALSE",IF(B180="","",IF('Cumulative Volumes Imperial'!$AQ$17=FALSE,O180,N180)))</f>
        <v/>
      </c>
      <c r="N180" s="30" t="str">
        <f t="shared" si="38"/>
        <v/>
      </c>
      <c r="O180" s="30" t="str">
        <f>IF(B180=0,"",IF('Cumulative Volumes Imperial'!$AQ$17=FALSE,(V180*$E$4)+(W180*$E$5),N180))</f>
        <v/>
      </c>
      <c r="P180" s="30" t="str">
        <f>IF(B180=0,"",(((1/12)*'Imperial Data'!$AC$4*'Imperial Data'!$AC$5)-C180)*$H$6)</f>
        <v/>
      </c>
      <c r="Q180" s="30" t="str">
        <f t="shared" si="39"/>
        <v/>
      </c>
      <c r="R180" s="30" t="str">
        <f>IF(B180=0,"",(((1/12)*'Imperial Data'!$AC$5*'Imperial Data'!$AC$7)-D180)*$H$6)</f>
        <v/>
      </c>
      <c r="S180" s="30" t="str">
        <f t="shared" si="40"/>
        <v/>
      </c>
      <c r="T180" s="30" t="str">
        <f t="shared" si="41"/>
        <v/>
      </c>
      <c r="U180" s="30" t="str">
        <f t="shared" si="42"/>
        <v/>
      </c>
      <c r="V180" s="30" t="str">
        <f t="shared" si="43"/>
        <v/>
      </c>
      <c r="W180" s="30" t="str">
        <f t="shared" si="45"/>
        <v/>
      </c>
      <c r="X180" s="31" t="str">
        <f t="shared" si="44"/>
        <v/>
      </c>
      <c r="Y180" s="30" t="str">
        <f t="shared" si="46"/>
        <v/>
      </c>
    </row>
    <row r="181" spans="1:25" x14ac:dyDescent="0.2">
      <c r="A181" s="2">
        <v>168</v>
      </c>
      <c r="B181" s="34">
        <f t="shared" si="47"/>
        <v>0</v>
      </c>
      <c r="C181" s="30" t="str">
        <f>IF(B181=0,"",IF('Imperial Data'!AG170&gt;=1, INDEX(Imperial_Incremental[], MATCH('Imperial Data'!AG170, Imperial_Incremental[Height], 1), MATCH('Cumulative Volumes Imperial'!$F$4, Imperial_Incremental[#Headers], 0)), 0))</f>
        <v/>
      </c>
      <c r="D181" s="30" t="str">
        <f>IF(B181=0,"",IF('Imperial Data'!AG170&gt;=1, INDEX(Imperial_Incremental[], MATCH('Imperial Data'!AG170, Imperial_Incremental[Height], 1), MATCH('Cumulative Volumes Imperial'!$F$4 &amp; "EC", Imperial_Incremental[#Headers], 0)), 0))</f>
        <v/>
      </c>
      <c r="E181" s="30" t="str">
        <f t="shared" si="32"/>
        <v/>
      </c>
      <c r="F181" s="30" t="str">
        <f t="shared" si="33"/>
        <v/>
      </c>
      <c r="G181" s="30" t="str">
        <f>IF(B181=0,"",IF('Cumulative Volumes Imperial'!$AQ$17=FALSE,I181,H181))</f>
        <v/>
      </c>
      <c r="H181" s="30" t="str">
        <f t="shared" si="34"/>
        <v/>
      </c>
      <c r="I181" s="30" t="str">
        <f t="shared" si="35"/>
        <v/>
      </c>
      <c r="J181" s="30" t="str">
        <f>IF(B181="","",IF('Cumulative Volumes Imperial'!$AQ$17=FALSE,L181,K181))</f>
        <v/>
      </c>
      <c r="K181" s="30" t="str">
        <f t="shared" si="36"/>
        <v/>
      </c>
      <c r="L181" s="30" t="str">
        <f t="shared" si="37"/>
        <v/>
      </c>
      <c r="M181" s="30" t="str">
        <f>IF($E$8+45+$E$9&gt;989,"FALSE",IF(B181="","",IF('Cumulative Volumes Imperial'!$AQ$17=FALSE,O181,N181)))</f>
        <v/>
      </c>
      <c r="N181" s="30" t="str">
        <f t="shared" si="38"/>
        <v/>
      </c>
      <c r="O181" s="30" t="str">
        <f>IF(B181=0,"",IF('Cumulative Volumes Imperial'!$AQ$17=FALSE,(V181*$E$4)+(W181*$E$5),N181))</f>
        <v/>
      </c>
      <c r="P181" s="30" t="str">
        <f>IF(B181=0,"",(((1/12)*'Imperial Data'!$AC$4*'Imperial Data'!$AC$5)-C181)*$H$6)</f>
        <v/>
      </c>
      <c r="Q181" s="30" t="str">
        <f t="shared" si="39"/>
        <v/>
      </c>
      <c r="R181" s="30" t="str">
        <f>IF(B181=0,"",(((1/12)*'Imperial Data'!$AC$5*'Imperial Data'!$AC$7)-D181)*$H$6)</f>
        <v/>
      </c>
      <c r="S181" s="30" t="str">
        <f t="shared" si="40"/>
        <v/>
      </c>
      <c r="T181" s="30" t="str">
        <f t="shared" si="41"/>
        <v/>
      </c>
      <c r="U181" s="30" t="str">
        <f t="shared" si="42"/>
        <v/>
      </c>
      <c r="V181" s="30" t="str">
        <f t="shared" si="43"/>
        <v/>
      </c>
      <c r="W181" s="30" t="str">
        <f t="shared" si="45"/>
        <v/>
      </c>
      <c r="X181" s="31" t="str">
        <f t="shared" si="44"/>
        <v/>
      </c>
      <c r="Y181" s="30" t="str">
        <f t="shared" si="46"/>
        <v/>
      </c>
    </row>
    <row r="182" spans="1:25" x14ac:dyDescent="0.2">
      <c r="A182" s="2">
        <v>169</v>
      </c>
      <c r="B182" s="34">
        <f t="shared" si="47"/>
        <v>0</v>
      </c>
      <c r="C182" s="30" t="str">
        <f>IF(B182=0,"",IF('Imperial Data'!AG171&gt;=1, INDEX(Imperial_Incremental[], MATCH('Imperial Data'!AG171, Imperial_Incremental[Height], 1), MATCH('Cumulative Volumes Imperial'!$F$4, Imperial_Incremental[#Headers], 0)), 0))</f>
        <v/>
      </c>
      <c r="D182" s="30" t="str">
        <f>IF(B182=0,"",IF('Imperial Data'!AG171&gt;=1, INDEX(Imperial_Incremental[], MATCH('Imperial Data'!AG171, Imperial_Incremental[Height], 1), MATCH('Cumulative Volumes Imperial'!$F$4 &amp; "EC", Imperial_Incremental[#Headers], 0)), 0))</f>
        <v/>
      </c>
      <c r="E182" s="30" t="str">
        <f t="shared" si="32"/>
        <v/>
      </c>
      <c r="F182" s="30" t="str">
        <f t="shared" si="33"/>
        <v/>
      </c>
      <c r="G182" s="30" t="str">
        <f>IF(B182=0,"",IF('Cumulative Volumes Imperial'!$AQ$17=FALSE,I182,H182))</f>
        <v/>
      </c>
      <c r="H182" s="30" t="str">
        <f t="shared" si="34"/>
        <v/>
      </c>
      <c r="I182" s="30" t="str">
        <f t="shared" si="35"/>
        <v/>
      </c>
      <c r="J182" s="30" t="str">
        <f>IF(B182="","",IF('Cumulative Volumes Imperial'!$AQ$17=FALSE,L182,K182))</f>
        <v/>
      </c>
      <c r="K182" s="30" t="str">
        <f t="shared" si="36"/>
        <v/>
      </c>
      <c r="L182" s="30" t="str">
        <f t="shared" si="37"/>
        <v/>
      </c>
      <c r="M182" s="30" t="str">
        <f>IF($E$8+45+$E$9&gt;989,"FALSE",IF(B182="","",IF('Cumulative Volumes Imperial'!$AQ$17=FALSE,O182,N182)))</f>
        <v/>
      </c>
      <c r="N182" s="30" t="str">
        <f t="shared" si="38"/>
        <v/>
      </c>
      <c r="O182" s="30" t="str">
        <f>IF(B182=0,"",IF('Cumulative Volumes Imperial'!$AQ$17=FALSE,(V182*$E$4)+(W182*$E$5),N182))</f>
        <v/>
      </c>
      <c r="P182" s="30" t="str">
        <f>IF(B182=0,"",(((1/12)*'Imperial Data'!$AC$4*'Imperial Data'!$AC$5)-C182)*$H$6)</f>
        <v/>
      </c>
      <c r="Q182" s="30" t="str">
        <f t="shared" si="39"/>
        <v/>
      </c>
      <c r="R182" s="30" t="str">
        <f>IF(B182=0,"",(((1/12)*'Imperial Data'!$AC$5*'Imperial Data'!$AC$7)-D182)*$H$6)</f>
        <v/>
      </c>
      <c r="S182" s="30" t="str">
        <f t="shared" si="40"/>
        <v/>
      </c>
      <c r="T182" s="30" t="str">
        <f t="shared" si="41"/>
        <v/>
      </c>
      <c r="U182" s="30" t="str">
        <f t="shared" si="42"/>
        <v/>
      </c>
      <c r="V182" s="30" t="str">
        <f t="shared" si="43"/>
        <v/>
      </c>
      <c r="W182" s="30" t="str">
        <f t="shared" si="45"/>
        <v/>
      </c>
      <c r="X182" s="31" t="str">
        <f t="shared" si="44"/>
        <v/>
      </c>
      <c r="Y182" s="30" t="str">
        <f t="shared" si="46"/>
        <v/>
      </c>
    </row>
    <row r="183" spans="1:25" x14ac:dyDescent="0.2">
      <c r="A183" s="2">
        <v>170</v>
      </c>
      <c r="B183" s="34">
        <f t="shared" si="47"/>
        <v>0</v>
      </c>
      <c r="C183" s="30" t="str">
        <f>IF(B183=0,"",IF('Imperial Data'!AG172&gt;=1, INDEX(Imperial_Incremental[], MATCH('Imperial Data'!AG172, Imperial_Incremental[Height], 1), MATCH('Cumulative Volumes Imperial'!$F$4, Imperial_Incremental[#Headers], 0)), 0))</f>
        <v/>
      </c>
      <c r="D183" s="30" t="str">
        <f>IF(B183=0,"",IF('Imperial Data'!AG172&gt;=1, INDEX(Imperial_Incremental[], MATCH('Imperial Data'!AG172, Imperial_Incremental[Height], 1), MATCH('Cumulative Volumes Imperial'!$F$4 &amp; "EC", Imperial_Incremental[#Headers], 0)), 0))</f>
        <v/>
      </c>
      <c r="E183" s="30" t="str">
        <f t="shared" si="32"/>
        <v/>
      </c>
      <c r="F183" s="30" t="str">
        <f t="shared" si="33"/>
        <v/>
      </c>
      <c r="G183" s="30" t="str">
        <f>IF(B183=0,"",IF('Cumulative Volumes Imperial'!$AQ$17=FALSE,I183,H183))</f>
        <v/>
      </c>
      <c r="H183" s="30" t="str">
        <f t="shared" si="34"/>
        <v/>
      </c>
      <c r="I183" s="30" t="str">
        <f t="shared" si="35"/>
        <v/>
      </c>
      <c r="J183" s="30" t="str">
        <f>IF(B183="","",IF('Cumulative Volumes Imperial'!$AQ$17=FALSE,L183,K183))</f>
        <v/>
      </c>
      <c r="K183" s="30" t="str">
        <f t="shared" si="36"/>
        <v/>
      </c>
      <c r="L183" s="30" t="str">
        <f t="shared" si="37"/>
        <v/>
      </c>
      <c r="M183" s="30" t="str">
        <f>IF($E$8+45+$E$9&gt;989,"FALSE",IF(B183="","",IF('Cumulative Volumes Imperial'!$AQ$17=FALSE,O183,N183)))</f>
        <v/>
      </c>
      <c r="N183" s="30" t="str">
        <f t="shared" si="38"/>
        <v/>
      </c>
      <c r="O183" s="30" t="str">
        <f>IF(B183=0,"",IF('Cumulative Volumes Imperial'!$AQ$17=FALSE,(V183*$E$4)+(W183*$E$5),N183))</f>
        <v/>
      </c>
      <c r="P183" s="30" t="str">
        <f>IF(B183=0,"",(((1/12)*'Imperial Data'!$AC$4*'Imperial Data'!$AC$5)-C183)*$H$6)</f>
        <v/>
      </c>
      <c r="Q183" s="30" t="str">
        <f t="shared" si="39"/>
        <v/>
      </c>
      <c r="R183" s="30" t="str">
        <f>IF(B183=0,"",(((1/12)*'Imperial Data'!$AC$5*'Imperial Data'!$AC$7)-D183)*$H$6)</f>
        <v/>
      </c>
      <c r="S183" s="30" t="str">
        <f t="shared" si="40"/>
        <v/>
      </c>
      <c r="T183" s="30" t="str">
        <f t="shared" si="41"/>
        <v/>
      </c>
      <c r="U183" s="30" t="str">
        <f t="shared" si="42"/>
        <v/>
      </c>
      <c r="V183" s="30" t="str">
        <f t="shared" si="43"/>
        <v/>
      </c>
      <c r="W183" s="30" t="str">
        <f t="shared" si="45"/>
        <v/>
      </c>
      <c r="X183" s="31" t="str">
        <f t="shared" si="44"/>
        <v/>
      </c>
      <c r="Y183" s="30" t="str">
        <f t="shared" si="46"/>
        <v/>
      </c>
    </row>
    <row r="184" spans="1:25" x14ac:dyDescent="0.2">
      <c r="A184" s="2">
        <v>171</v>
      </c>
      <c r="B184" s="34">
        <f t="shared" si="47"/>
        <v>0</v>
      </c>
      <c r="C184" s="30" t="str">
        <f>IF(B184=0,"",IF('Imperial Data'!AG173&gt;=1, INDEX(Imperial_Incremental[], MATCH('Imperial Data'!AG173, Imperial_Incremental[Height], 1), MATCH('Cumulative Volumes Imperial'!$F$4, Imperial_Incremental[#Headers], 0)), 0))</f>
        <v/>
      </c>
      <c r="D184" s="30" t="str">
        <f>IF(B184=0,"",IF('Imperial Data'!AG173&gt;=1, INDEX(Imperial_Incremental[], MATCH('Imperial Data'!AG173, Imperial_Incremental[Height], 1), MATCH('Cumulative Volumes Imperial'!$F$4 &amp; "EC", Imperial_Incremental[#Headers], 0)), 0))</f>
        <v/>
      </c>
      <c r="E184" s="30" t="str">
        <f t="shared" si="32"/>
        <v/>
      </c>
      <c r="F184" s="30" t="str">
        <f t="shared" si="33"/>
        <v/>
      </c>
      <c r="G184" s="30" t="str">
        <f>IF(B184=0,"",IF('Cumulative Volumes Imperial'!$AQ$17=FALSE,I184,H184))</f>
        <v/>
      </c>
      <c r="H184" s="30" t="str">
        <f t="shared" si="34"/>
        <v/>
      </c>
      <c r="I184" s="30" t="str">
        <f t="shared" si="35"/>
        <v/>
      </c>
      <c r="J184" s="30" t="str">
        <f>IF(B184="","",IF('Cumulative Volumes Imperial'!$AQ$17=FALSE,L184,K184))</f>
        <v/>
      </c>
      <c r="K184" s="30" t="str">
        <f t="shared" si="36"/>
        <v/>
      </c>
      <c r="L184" s="30" t="str">
        <f t="shared" si="37"/>
        <v/>
      </c>
      <c r="M184" s="30" t="str">
        <f>IF($E$8+45+$E$9&gt;989,"FALSE",IF(B184="","",IF('Cumulative Volumes Imperial'!$AQ$17=FALSE,O184,N184)))</f>
        <v/>
      </c>
      <c r="N184" s="30" t="str">
        <f t="shared" si="38"/>
        <v/>
      </c>
      <c r="O184" s="30" t="str">
        <f>IF(B184=0,"",IF('Cumulative Volumes Imperial'!$AQ$17=FALSE,(V184*$E$4)+(W184*$E$5),N184))</f>
        <v/>
      </c>
      <c r="P184" s="30" t="str">
        <f>IF(B184=0,"",(((1/12)*'Imperial Data'!$AC$4*'Imperial Data'!$AC$5)-C184)*$H$6)</f>
        <v/>
      </c>
      <c r="Q184" s="30" t="str">
        <f t="shared" si="39"/>
        <v/>
      </c>
      <c r="R184" s="30" t="str">
        <f>IF(B184=0,"",(((1/12)*'Imperial Data'!$AC$5*'Imperial Data'!$AC$7)-D184)*$H$6)</f>
        <v/>
      </c>
      <c r="S184" s="30" t="str">
        <f t="shared" si="40"/>
        <v/>
      </c>
      <c r="T184" s="30" t="str">
        <f t="shared" si="41"/>
        <v/>
      </c>
      <c r="U184" s="30" t="str">
        <f t="shared" si="42"/>
        <v/>
      </c>
      <c r="V184" s="30" t="str">
        <f t="shared" si="43"/>
        <v/>
      </c>
      <c r="W184" s="30" t="str">
        <f t="shared" si="45"/>
        <v/>
      </c>
      <c r="X184" s="31" t="str">
        <f t="shared" si="44"/>
        <v/>
      </c>
      <c r="Y184" s="30" t="str">
        <f t="shared" si="46"/>
        <v/>
      </c>
    </row>
    <row r="185" spans="1:25" x14ac:dyDescent="0.2">
      <c r="A185" s="2">
        <v>172</v>
      </c>
      <c r="B185" s="34">
        <f t="shared" si="47"/>
        <v>0</v>
      </c>
      <c r="C185" s="30" t="str">
        <f>IF(B185=0,"",IF('Imperial Data'!AG174&gt;=1, INDEX(Imperial_Incremental[], MATCH('Imperial Data'!AG174, Imperial_Incremental[Height], 1), MATCH('Cumulative Volumes Imperial'!$F$4, Imperial_Incremental[#Headers], 0)), 0))</f>
        <v/>
      </c>
      <c r="D185" s="30" t="str">
        <f>IF(B185=0,"",IF('Imperial Data'!AG174&gt;=1, INDEX(Imperial_Incremental[], MATCH('Imperial Data'!AG174, Imperial_Incremental[Height], 1), MATCH('Cumulative Volumes Imperial'!$F$4 &amp; "EC", Imperial_Incremental[#Headers], 0)), 0))</f>
        <v/>
      </c>
      <c r="E185" s="30" t="str">
        <f t="shared" si="32"/>
        <v/>
      </c>
      <c r="F185" s="30" t="str">
        <f t="shared" si="33"/>
        <v/>
      </c>
      <c r="G185" s="30" t="str">
        <f>IF(B185=0,"",IF('Cumulative Volumes Imperial'!$AQ$17=FALSE,I185,H185))</f>
        <v/>
      </c>
      <c r="H185" s="30" t="str">
        <f t="shared" si="34"/>
        <v/>
      </c>
      <c r="I185" s="30" t="str">
        <f t="shared" si="35"/>
        <v/>
      </c>
      <c r="J185" s="30" t="str">
        <f>IF(B185="","",IF('Cumulative Volumes Imperial'!$AQ$17=FALSE,L185,K185))</f>
        <v/>
      </c>
      <c r="K185" s="30" t="str">
        <f t="shared" si="36"/>
        <v/>
      </c>
      <c r="L185" s="30" t="str">
        <f t="shared" si="37"/>
        <v/>
      </c>
      <c r="M185" s="30" t="str">
        <f>IF($E$8+45+$E$9&gt;989,"FALSE",IF(B185="","",IF('Cumulative Volumes Imperial'!$AQ$17=FALSE,O185,N185)))</f>
        <v/>
      </c>
      <c r="N185" s="30" t="str">
        <f t="shared" si="38"/>
        <v/>
      </c>
      <c r="O185" s="30" t="str">
        <f>IF(B185=0,"",IF('Cumulative Volumes Imperial'!$AQ$17=FALSE,(V185*$E$4)+(W185*$E$5),N185))</f>
        <v/>
      </c>
      <c r="P185" s="30" t="str">
        <f>IF(B185=0,"",(((1/12)*'Imperial Data'!$AC$4*'Imperial Data'!$AC$5)-C185)*$H$6)</f>
        <v/>
      </c>
      <c r="Q185" s="30" t="str">
        <f t="shared" si="39"/>
        <v/>
      </c>
      <c r="R185" s="30" t="str">
        <f>IF(B185=0,"",(((1/12)*'Imperial Data'!$AC$5*'Imperial Data'!$AC$7)-D185)*$H$6)</f>
        <v/>
      </c>
      <c r="S185" s="30" t="str">
        <f t="shared" si="40"/>
        <v/>
      </c>
      <c r="T185" s="30" t="str">
        <f t="shared" si="41"/>
        <v/>
      </c>
      <c r="U185" s="30" t="str">
        <f t="shared" si="42"/>
        <v/>
      </c>
      <c r="V185" s="30" t="str">
        <f t="shared" si="43"/>
        <v/>
      </c>
      <c r="W185" s="30" t="str">
        <f t="shared" si="45"/>
        <v/>
      </c>
      <c r="X185" s="31" t="str">
        <f t="shared" si="44"/>
        <v/>
      </c>
      <c r="Y185" s="30" t="str">
        <f t="shared" si="46"/>
        <v/>
      </c>
    </row>
    <row r="186" spans="1:25" x14ac:dyDescent="0.2">
      <c r="A186" s="2">
        <v>173</v>
      </c>
      <c r="B186" s="34">
        <f t="shared" si="47"/>
        <v>0</v>
      </c>
      <c r="C186" s="30" t="str">
        <f>IF(B186=0,"",IF('Imperial Data'!AG175&gt;=1, INDEX(Imperial_Incremental[], MATCH('Imperial Data'!AG175, Imperial_Incremental[Height], 1), MATCH('Cumulative Volumes Imperial'!$F$4, Imperial_Incremental[#Headers], 0)), 0))</f>
        <v/>
      </c>
      <c r="D186" s="30" t="str">
        <f>IF(B186=0,"",IF('Imperial Data'!AG175&gt;=1, INDEX(Imperial_Incremental[], MATCH('Imperial Data'!AG175, Imperial_Incremental[Height], 1), MATCH('Cumulative Volumes Imperial'!$F$4 &amp; "EC", Imperial_Incremental[#Headers], 0)), 0))</f>
        <v/>
      </c>
      <c r="E186" s="30" t="str">
        <f t="shared" si="32"/>
        <v/>
      </c>
      <c r="F186" s="30" t="str">
        <f t="shared" si="33"/>
        <v/>
      </c>
      <c r="G186" s="30" t="str">
        <f>IF(B186=0,"",IF('Cumulative Volumes Imperial'!$AQ$17=FALSE,I186,H186))</f>
        <v/>
      </c>
      <c r="H186" s="30" t="str">
        <f t="shared" si="34"/>
        <v/>
      </c>
      <c r="I186" s="30" t="str">
        <f t="shared" si="35"/>
        <v/>
      </c>
      <c r="J186" s="30" t="str">
        <f>IF(B186="","",IF('Cumulative Volumes Imperial'!$AQ$17=FALSE,L186,K186))</f>
        <v/>
      </c>
      <c r="K186" s="30" t="str">
        <f t="shared" si="36"/>
        <v/>
      </c>
      <c r="L186" s="30" t="str">
        <f t="shared" si="37"/>
        <v/>
      </c>
      <c r="M186" s="30" t="str">
        <f>IF($E$8+45+$E$9&gt;989,"FALSE",IF(B186="","",IF('Cumulative Volumes Imperial'!$AQ$17=FALSE,O186,N186)))</f>
        <v/>
      </c>
      <c r="N186" s="30" t="str">
        <f t="shared" si="38"/>
        <v/>
      </c>
      <c r="O186" s="30" t="str">
        <f>IF(B186=0,"",IF('Cumulative Volumes Imperial'!$AQ$17=FALSE,(V186*$E$4)+(W186*$E$5),N186))</f>
        <v/>
      </c>
      <c r="P186" s="30" t="str">
        <f>IF(B186=0,"",(((1/12)*'Imperial Data'!$AC$4*'Imperial Data'!$AC$5)-C186)*$H$6)</f>
        <v/>
      </c>
      <c r="Q186" s="30" t="str">
        <f t="shared" si="39"/>
        <v/>
      </c>
      <c r="R186" s="30" t="str">
        <f>IF(B186=0,"",(((1/12)*'Imperial Data'!$AC$5*'Imperial Data'!$AC$7)-D186)*$H$6)</f>
        <v/>
      </c>
      <c r="S186" s="30" t="str">
        <f t="shared" si="40"/>
        <v/>
      </c>
      <c r="T186" s="30" t="str">
        <f t="shared" si="41"/>
        <v/>
      </c>
      <c r="U186" s="30" t="str">
        <f t="shared" si="42"/>
        <v/>
      </c>
      <c r="V186" s="30" t="str">
        <f t="shared" si="43"/>
        <v/>
      </c>
      <c r="W186" s="30" t="str">
        <f t="shared" si="45"/>
        <v/>
      </c>
      <c r="X186" s="31" t="str">
        <f t="shared" si="44"/>
        <v/>
      </c>
      <c r="Y186" s="30" t="str">
        <f t="shared" si="46"/>
        <v/>
      </c>
    </row>
    <row r="187" spans="1:25" x14ac:dyDescent="0.2">
      <c r="A187" s="2">
        <v>174</v>
      </c>
      <c r="B187" s="34">
        <f t="shared" si="47"/>
        <v>0</v>
      </c>
      <c r="C187" s="30" t="str">
        <f>IF(B187=0,"",IF('Imperial Data'!AG176&gt;=1, INDEX(Imperial_Incremental[], MATCH('Imperial Data'!AG176, Imperial_Incremental[Height], 1), MATCH('Cumulative Volumes Imperial'!$F$4, Imperial_Incremental[#Headers], 0)), 0))</f>
        <v/>
      </c>
      <c r="D187" s="30" t="str">
        <f>IF(B187=0,"",IF('Imperial Data'!AG176&gt;=1, INDEX(Imperial_Incremental[], MATCH('Imperial Data'!AG176, Imperial_Incremental[Height], 1), MATCH('Cumulative Volumes Imperial'!$F$4 &amp; "EC", Imperial_Incremental[#Headers], 0)), 0))</f>
        <v/>
      </c>
      <c r="E187" s="30" t="str">
        <f t="shared" si="32"/>
        <v/>
      </c>
      <c r="F187" s="30" t="str">
        <f t="shared" si="33"/>
        <v/>
      </c>
      <c r="G187" s="30" t="str">
        <f>IF(B187=0,"",IF('Cumulative Volumes Imperial'!$AQ$17=FALSE,I187,H187))</f>
        <v/>
      </c>
      <c r="H187" s="30" t="str">
        <f t="shared" si="34"/>
        <v/>
      </c>
      <c r="I187" s="30" t="str">
        <f t="shared" si="35"/>
        <v/>
      </c>
      <c r="J187" s="30" t="str">
        <f>IF(B187="","",IF('Cumulative Volumes Imperial'!$AQ$17=FALSE,L187,K187))</f>
        <v/>
      </c>
      <c r="K187" s="30" t="str">
        <f t="shared" si="36"/>
        <v/>
      </c>
      <c r="L187" s="30" t="str">
        <f t="shared" si="37"/>
        <v/>
      </c>
      <c r="M187" s="30" t="str">
        <f>IF($E$8+45+$E$9&gt;989,"FALSE",IF(B187="","",IF('Cumulative Volumes Imperial'!$AQ$17=FALSE,O187,N187)))</f>
        <v/>
      </c>
      <c r="N187" s="30" t="str">
        <f t="shared" si="38"/>
        <v/>
      </c>
      <c r="O187" s="30" t="str">
        <f>IF(B187=0,"",IF('Cumulative Volumes Imperial'!$AQ$17=FALSE,(V187*$E$4)+(W187*$E$5),N187))</f>
        <v/>
      </c>
      <c r="P187" s="30" t="str">
        <f>IF(B187=0,"",(((1/12)*'Imperial Data'!$AC$4*'Imperial Data'!$AC$5)-C187)*$H$6)</f>
        <v/>
      </c>
      <c r="Q187" s="30" t="str">
        <f t="shared" si="39"/>
        <v/>
      </c>
      <c r="R187" s="30" t="str">
        <f>IF(B187=0,"",(((1/12)*'Imperial Data'!$AC$5*'Imperial Data'!$AC$7)-D187)*$H$6)</f>
        <v/>
      </c>
      <c r="S187" s="30" t="str">
        <f t="shared" si="40"/>
        <v/>
      </c>
      <c r="T187" s="30" t="str">
        <f t="shared" si="41"/>
        <v/>
      </c>
      <c r="U187" s="30" t="str">
        <f t="shared" si="42"/>
        <v/>
      </c>
      <c r="V187" s="30" t="str">
        <f t="shared" si="43"/>
        <v/>
      </c>
      <c r="W187" s="30" t="str">
        <f t="shared" si="45"/>
        <v/>
      </c>
      <c r="X187" s="31" t="str">
        <f t="shared" si="44"/>
        <v/>
      </c>
      <c r="Y187" s="30" t="str">
        <f t="shared" si="46"/>
        <v/>
      </c>
    </row>
    <row r="188" spans="1:25" x14ac:dyDescent="0.2">
      <c r="A188" s="2">
        <v>175</v>
      </c>
      <c r="B188" s="34">
        <f t="shared" si="47"/>
        <v>0</v>
      </c>
      <c r="C188" s="30" t="str">
        <f>IF(B188=0,"",IF('Imperial Data'!AG177&gt;=1, INDEX(Imperial_Incremental[], MATCH('Imperial Data'!AG177, Imperial_Incremental[Height], 1), MATCH('Cumulative Volumes Imperial'!$F$4, Imperial_Incremental[#Headers], 0)), 0))</f>
        <v/>
      </c>
      <c r="D188" s="30" t="str">
        <f>IF(B188=0,"",IF('Imperial Data'!AG177&gt;=1, INDEX(Imperial_Incremental[], MATCH('Imperial Data'!AG177, Imperial_Incremental[Height], 1), MATCH('Cumulative Volumes Imperial'!$F$4 &amp; "EC", Imperial_Incremental[#Headers], 0)), 0))</f>
        <v/>
      </c>
      <c r="E188" s="30" t="str">
        <f t="shared" si="32"/>
        <v/>
      </c>
      <c r="F188" s="30" t="str">
        <f t="shared" si="33"/>
        <v/>
      </c>
      <c r="G188" s="30" t="str">
        <f>IF(B188=0,"",IF('Cumulative Volumes Imperial'!$AQ$17=FALSE,I188,H188))</f>
        <v/>
      </c>
      <c r="H188" s="30" t="str">
        <f t="shared" si="34"/>
        <v/>
      </c>
      <c r="I188" s="30" t="str">
        <f t="shared" si="35"/>
        <v/>
      </c>
      <c r="J188" s="30" t="str">
        <f>IF(B188="","",IF('Cumulative Volumes Imperial'!$AQ$17=FALSE,L188,K188))</f>
        <v/>
      </c>
      <c r="K188" s="30" t="str">
        <f t="shared" si="36"/>
        <v/>
      </c>
      <c r="L188" s="30" t="str">
        <f t="shared" si="37"/>
        <v/>
      </c>
      <c r="M188" s="30" t="str">
        <f>IF($E$8+45+$E$9&gt;989,"FALSE",IF(B188="","",IF('Cumulative Volumes Imperial'!$AQ$17=FALSE,O188,N188)))</f>
        <v/>
      </c>
      <c r="N188" s="30" t="str">
        <f t="shared" si="38"/>
        <v/>
      </c>
      <c r="O188" s="30" t="str">
        <f>IF(B188=0,"",IF('Cumulative Volumes Imperial'!$AQ$17=FALSE,(V188*$E$4)+(W188*$E$5),N188))</f>
        <v/>
      </c>
      <c r="P188" s="30" t="str">
        <f>IF(B188=0,"",(((1/12)*'Imperial Data'!$AC$4*'Imperial Data'!$AC$5)-C188)*$H$6)</f>
        <v/>
      </c>
      <c r="Q188" s="30" t="str">
        <f t="shared" si="39"/>
        <v/>
      </c>
      <c r="R188" s="30" t="str">
        <f>IF(B188=0,"",(((1/12)*'Imperial Data'!$AC$5*'Imperial Data'!$AC$7)-D188)*$H$6)</f>
        <v/>
      </c>
      <c r="S188" s="30" t="str">
        <f t="shared" si="40"/>
        <v/>
      </c>
      <c r="T188" s="30" t="str">
        <f t="shared" si="41"/>
        <v/>
      </c>
      <c r="U188" s="30" t="str">
        <f t="shared" si="42"/>
        <v/>
      </c>
      <c r="V188" s="30" t="str">
        <f t="shared" si="43"/>
        <v/>
      </c>
      <c r="W188" s="30" t="str">
        <f t="shared" si="45"/>
        <v/>
      </c>
      <c r="X188" s="31" t="str">
        <f t="shared" si="44"/>
        <v/>
      </c>
      <c r="Y188" s="30" t="str">
        <f t="shared" si="46"/>
        <v/>
      </c>
    </row>
    <row r="189" spans="1:25" x14ac:dyDescent="0.2">
      <c r="A189" s="2">
        <v>176</v>
      </c>
      <c r="B189" s="34">
        <f t="shared" si="47"/>
        <v>0</v>
      </c>
      <c r="C189" s="30" t="str">
        <f>IF(B189=0,"",IF('Imperial Data'!AG178&gt;=1, INDEX(Imperial_Incremental[], MATCH('Imperial Data'!AG178, Imperial_Incremental[Height], 1), MATCH('Cumulative Volumes Imperial'!$F$4, Imperial_Incremental[#Headers], 0)), 0))</f>
        <v/>
      </c>
      <c r="D189" s="30" t="str">
        <f>IF(B189=0,"",IF('Imperial Data'!AG178&gt;=1, INDEX(Imperial_Incremental[], MATCH('Imperial Data'!AG178, Imperial_Incremental[Height], 1), MATCH('Cumulative Volumes Imperial'!$F$4 &amp; "EC", Imperial_Incremental[#Headers], 0)), 0))</f>
        <v/>
      </c>
      <c r="E189" s="30" t="str">
        <f t="shared" si="32"/>
        <v/>
      </c>
      <c r="F189" s="30" t="str">
        <f t="shared" si="33"/>
        <v/>
      </c>
      <c r="G189" s="30" t="str">
        <f>IF(B189=0,"",IF('Cumulative Volumes Imperial'!$AQ$17=FALSE,I189,H189))</f>
        <v/>
      </c>
      <c r="H189" s="30" t="str">
        <f t="shared" si="34"/>
        <v/>
      </c>
      <c r="I189" s="30" t="str">
        <f t="shared" si="35"/>
        <v/>
      </c>
      <c r="J189" s="30" t="str">
        <f>IF(B189="","",IF('Cumulative Volumes Imperial'!$AQ$17=FALSE,L189,K189))</f>
        <v/>
      </c>
      <c r="K189" s="30" t="str">
        <f t="shared" si="36"/>
        <v/>
      </c>
      <c r="L189" s="30" t="str">
        <f t="shared" si="37"/>
        <v/>
      </c>
      <c r="M189" s="30" t="str">
        <f>IF($E$8+45+$E$9&gt;989,"FALSE",IF(B189="","",IF('Cumulative Volumes Imperial'!$AQ$17=FALSE,O189,N189)))</f>
        <v/>
      </c>
      <c r="N189" s="30" t="str">
        <f t="shared" si="38"/>
        <v/>
      </c>
      <c r="O189" s="30" t="str">
        <f>IF(B189=0,"",IF('Cumulative Volumes Imperial'!$AQ$17=FALSE,(V189*$E$4)+(W189*$E$5),N189))</f>
        <v/>
      </c>
      <c r="P189" s="30" t="str">
        <f>IF(B189=0,"",(((1/12)*'Imperial Data'!$AC$4*'Imperial Data'!$AC$5)-C189)*$H$6)</f>
        <v/>
      </c>
      <c r="Q189" s="30" t="str">
        <f t="shared" si="39"/>
        <v/>
      </c>
      <c r="R189" s="30" t="str">
        <f>IF(B189=0,"",(((1/12)*'Imperial Data'!$AC$5*'Imperial Data'!$AC$7)-D189)*$H$6)</f>
        <v/>
      </c>
      <c r="S189" s="30" t="str">
        <f t="shared" si="40"/>
        <v/>
      </c>
      <c r="T189" s="30" t="str">
        <f t="shared" si="41"/>
        <v/>
      </c>
      <c r="U189" s="30" t="str">
        <f t="shared" si="42"/>
        <v/>
      </c>
      <c r="V189" s="30" t="str">
        <f t="shared" si="43"/>
        <v/>
      </c>
      <c r="W189" s="30" t="str">
        <f t="shared" si="45"/>
        <v/>
      </c>
      <c r="X189" s="31" t="str">
        <f t="shared" si="44"/>
        <v/>
      </c>
      <c r="Y189" s="30" t="str">
        <f t="shared" si="46"/>
        <v/>
      </c>
    </row>
    <row r="190" spans="1:25" x14ac:dyDescent="0.2">
      <c r="A190" s="2">
        <v>177</v>
      </c>
      <c r="B190" s="34">
        <f t="shared" si="47"/>
        <v>0</v>
      </c>
      <c r="C190" s="30" t="str">
        <f>IF(B190=0,"",IF('Imperial Data'!AG179&gt;=1, INDEX(Imperial_Incremental[], MATCH('Imperial Data'!AG179, Imperial_Incremental[Height], 1), MATCH('Cumulative Volumes Imperial'!$F$4, Imperial_Incremental[#Headers], 0)), 0))</f>
        <v/>
      </c>
      <c r="D190" s="30" t="str">
        <f>IF(B190=0,"",IF('Imperial Data'!AG179&gt;=1, INDEX(Imperial_Incremental[], MATCH('Imperial Data'!AG179, Imperial_Incremental[Height], 1), MATCH('Cumulative Volumes Imperial'!$F$4 &amp; "EC", Imperial_Incremental[#Headers], 0)), 0))</f>
        <v/>
      </c>
      <c r="E190" s="30" t="str">
        <f t="shared" si="32"/>
        <v/>
      </c>
      <c r="F190" s="30" t="str">
        <f t="shared" si="33"/>
        <v/>
      </c>
      <c r="G190" s="30" t="str">
        <f>IF(B190=0,"",IF('Cumulative Volumes Imperial'!$AQ$17=FALSE,I190,H190))</f>
        <v/>
      </c>
      <c r="H190" s="30" t="str">
        <f t="shared" si="34"/>
        <v/>
      </c>
      <c r="I190" s="30" t="str">
        <f t="shared" si="35"/>
        <v/>
      </c>
      <c r="J190" s="30" t="str">
        <f>IF(B190="","",IF('Cumulative Volumes Imperial'!$AQ$17=FALSE,L190,K190))</f>
        <v/>
      </c>
      <c r="K190" s="30" t="str">
        <f t="shared" si="36"/>
        <v/>
      </c>
      <c r="L190" s="30" t="str">
        <f t="shared" si="37"/>
        <v/>
      </c>
      <c r="M190" s="30" t="str">
        <f>IF($E$8+45+$E$9&gt;989,"FALSE",IF(B190="","",IF('Cumulative Volumes Imperial'!$AQ$17=FALSE,O190,N190)))</f>
        <v/>
      </c>
      <c r="N190" s="30" t="str">
        <f t="shared" si="38"/>
        <v/>
      </c>
      <c r="O190" s="30" t="str">
        <f>IF(B190=0,"",IF('Cumulative Volumes Imperial'!$AQ$17=FALSE,(V190*$E$4)+(W190*$E$5),N190))</f>
        <v/>
      </c>
      <c r="P190" s="30" t="str">
        <f>IF(B190=0,"",(((1/12)*'Imperial Data'!$AC$4*'Imperial Data'!$AC$5)-C190)*$H$6)</f>
        <v/>
      </c>
      <c r="Q190" s="30" t="str">
        <f t="shared" si="39"/>
        <v/>
      </c>
      <c r="R190" s="30" t="str">
        <f>IF(B190=0,"",(((1/12)*'Imperial Data'!$AC$5*'Imperial Data'!$AC$7)-D190)*$H$6)</f>
        <v/>
      </c>
      <c r="S190" s="30" t="str">
        <f t="shared" si="40"/>
        <v/>
      </c>
      <c r="T190" s="30" t="str">
        <f t="shared" si="41"/>
        <v/>
      </c>
      <c r="U190" s="30" t="str">
        <f t="shared" si="42"/>
        <v/>
      </c>
      <c r="V190" s="30" t="str">
        <f t="shared" si="43"/>
        <v/>
      </c>
      <c r="W190" s="30" t="str">
        <f t="shared" si="45"/>
        <v/>
      </c>
      <c r="X190" s="31" t="str">
        <f t="shared" si="44"/>
        <v/>
      </c>
      <c r="Y190" s="30" t="str">
        <f t="shared" si="46"/>
        <v/>
      </c>
    </row>
    <row r="191" spans="1:25" x14ac:dyDescent="0.2">
      <c r="A191" s="2">
        <v>178</v>
      </c>
      <c r="B191" s="34">
        <f t="shared" si="47"/>
        <v>0</v>
      </c>
      <c r="C191" s="30" t="str">
        <f>IF(B191=0,"",IF('Imperial Data'!AG180&gt;=1, INDEX(Imperial_Incremental[], MATCH('Imperial Data'!AG180, Imperial_Incremental[Height], 1), MATCH('Cumulative Volumes Imperial'!$F$4, Imperial_Incremental[#Headers], 0)), 0))</f>
        <v/>
      </c>
      <c r="D191" s="30" t="str">
        <f>IF(B191=0,"",IF('Imperial Data'!AG180&gt;=1, INDEX(Imperial_Incremental[], MATCH('Imperial Data'!AG180, Imperial_Incremental[Height], 1), MATCH('Cumulative Volumes Imperial'!$F$4 &amp; "EC", Imperial_Incremental[#Headers], 0)), 0))</f>
        <v/>
      </c>
      <c r="E191" s="30" t="str">
        <f t="shared" si="32"/>
        <v/>
      </c>
      <c r="F191" s="30" t="str">
        <f t="shared" si="33"/>
        <v/>
      </c>
      <c r="G191" s="30" t="str">
        <f>IF(B191=0,"",IF('Cumulative Volumes Imperial'!$AQ$17=FALSE,I191,H191))</f>
        <v/>
      </c>
      <c r="H191" s="30" t="str">
        <f t="shared" si="34"/>
        <v/>
      </c>
      <c r="I191" s="30" t="str">
        <f t="shared" si="35"/>
        <v/>
      </c>
      <c r="J191" s="30" t="str">
        <f>IF(B191="","",IF('Cumulative Volumes Imperial'!$AQ$17=FALSE,L191,K191))</f>
        <v/>
      </c>
      <c r="K191" s="30" t="str">
        <f t="shared" si="36"/>
        <v/>
      </c>
      <c r="L191" s="30" t="str">
        <f t="shared" si="37"/>
        <v/>
      </c>
      <c r="M191" s="30" t="str">
        <f>IF($E$8+45+$E$9&gt;989,"FALSE",IF(B191="","",IF('Cumulative Volumes Imperial'!$AQ$17=FALSE,O191,N191)))</f>
        <v/>
      </c>
      <c r="N191" s="30" t="str">
        <f t="shared" si="38"/>
        <v/>
      </c>
      <c r="O191" s="30" t="str">
        <f>IF(B191=0,"",IF('Cumulative Volumes Imperial'!$AQ$17=FALSE,(V191*$E$4)+(W191*$E$5),N191))</f>
        <v/>
      </c>
      <c r="P191" s="30" t="str">
        <f>IF(B191=0,"",(((1/12)*'Imperial Data'!$AC$4*'Imperial Data'!$AC$5)-C191)*$H$6)</f>
        <v/>
      </c>
      <c r="Q191" s="30" t="str">
        <f t="shared" si="39"/>
        <v/>
      </c>
      <c r="R191" s="30" t="str">
        <f>IF(B191=0,"",(((1/12)*'Imperial Data'!$AC$5*'Imperial Data'!$AC$7)-D191)*$H$6)</f>
        <v/>
      </c>
      <c r="S191" s="30" t="str">
        <f t="shared" si="40"/>
        <v/>
      </c>
      <c r="T191" s="30" t="str">
        <f t="shared" si="41"/>
        <v/>
      </c>
      <c r="U191" s="30" t="str">
        <f t="shared" si="42"/>
        <v/>
      </c>
      <c r="V191" s="30" t="str">
        <f t="shared" si="43"/>
        <v/>
      </c>
      <c r="W191" s="30" t="str">
        <f t="shared" si="45"/>
        <v/>
      </c>
      <c r="X191" s="31" t="str">
        <f t="shared" si="44"/>
        <v/>
      </c>
      <c r="Y191" s="30" t="str">
        <f t="shared" si="46"/>
        <v/>
      </c>
    </row>
    <row r="192" spans="1:25" x14ac:dyDescent="0.2">
      <c r="A192" s="2">
        <v>179</v>
      </c>
      <c r="B192" s="34">
        <f t="shared" si="47"/>
        <v>0</v>
      </c>
      <c r="C192" s="30" t="str">
        <f>IF(B192=0,"",IF('Imperial Data'!AG181&gt;=1, INDEX(Imperial_Incremental[], MATCH('Imperial Data'!AG181, Imperial_Incremental[Height], 1), MATCH('Cumulative Volumes Imperial'!$F$4, Imperial_Incremental[#Headers], 0)), 0))</f>
        <v/>
      </c>
      <c r="D192" s="30" t="str">
        <f>IF(B192=0,"",IF('Imperial Data'!AG181&gt;=1, INDEX(Imperial_Incremental[], MATCH('Imperial Data'!AG181, Imperial_Incremental[Height], 1), MATCH('Cumulative Volumes Imperial'!$F$4 &amp; "EC", Imperial_Incremental[#Headers], 0)), 0))</f>
        <v/>
      </c>
      <c r="E192" s="30" t="str">
        <f t="shared" si="32"/>
        <v/>
      </c>
      <c r="F192" s="30" t="str">
        <f t="shared" si="33"/>
        <v/>
      </c>
      <c r="G192" s="30" t="str">
        <f>IF(B192=0,"",IF('Cumulative Volumes Imperial'!$AQ$17=FALSE,I192,H192))</f>
        <v/>
      </c>
      <c r="H192" s="30" t="str">
        <f t="shared" si="34"/>
        <v/>
      </c>
      <c r="I192" s="30" t="str">
        <f t="shared" si="35"/>
        <v/>
      </c>
      <c r="J192" s="30" t="str">
        <f>IF(B192="","",IF('Cumulative Volumes Imperial'!$AQ$17=FALSE,L192,K192))</f>
        <v/>
      </c>
      <c r="K192" s="30" t="str">
        <f t="shared" si="36"/>
        <v/>
      </c>
      <c r="L192" s="30" t="str">
        <f t="shared" si="37"/>
        <v/>
      </c>
      <c r="M192" s="30" t="str">
        <f>IF($E$8+45+$E$9&gt;989,"FALSE",IF(B192="","",IF('Cumulative Volumes Imperial'!$AQ$17=FALSE,O192,N192)))</f>
        <v/>
      </c>
      <c r="N192" s="30" t="str">
        <f t="shared" si="38"/>
        <v/>
      </c>
      <c r="O192" s="30" t="str">
        <f>IF(B192=0,"",IF('Cumulative Volumes Imperial'!$AQ$17=FALSE,(V192*$E$4)+(W192*$E$5),N192))</f>
        <v/>
      </c>
      <c r="P192" s="30" t="str">
        <f>IF(B192=0,"",(((1/12)*'Imperial Data'!$AC$4*'Imperial Data'!$AC$5)-C192)*$H$6)</f>
        <v/>
      </c>
      <c r="Q192" s="30" t="str">
        <f t="shared" si="39"/>
        <v/>
      </c>
      <c r="R192" s="30" t="str">
        <f>IF(B192=0,"",(((1/12)*'Imperial Data'!$AC$5*'Imperial Data'!$AC$7)-D192)*$H$6)</f>
        <v/>
      </c>
      <c r="S192" s="30" t="str">
        <f t="shared" si="40"/>
        <v/>
      </c>
      <c r="T192" s="30" t="str">
        <f t="shared" si="41"/>
        <v/>
      </c>
      <c r="U192" s="30" t="str">
        <f t="shared" si="42"/>
        <v/>
      </c>
      <c r="V192" s="30" t="str">
        <f t="shared" si="43"/>
        <v/>
      </c>
      <c r="W192" s="30" t="str">
        <f t="shared" si="45"/>
        <v/>
      </c>
      <c r="X192" s="31" t="str">
        <f t="shared" si="44"/>
        <v/>
      </c>
      <c r="Y192" s="30" t="str">
        <f t="shared" si="46"/>
        <v/>
      </c>
    </row>
    <row r="193" spans="1:25" x14ac:dyDescent="0.2">
      <c r="A193" s="2">
        <v>180</v>
      </c>
      <c r="B193" s="34">
        <f t="shared" si="47"/>
        <v>0</v>
      </c>
      <c r="C193" s="30" t="str">
        <f>IF(B193=0,"",IF('Imperial Data'!AG182&gt;=1, INDEX(Imperial_Incremental[], MATCH('Imperial Data'!AG182, Imperial_Incremental[Height], 1), MATCH('Cumulative Volumes Imperial'!$F$4, Imperial_Incremental[#Headers], 0)), 0))</f>
        <v/>
      </c>
      <c r="D193" s="30" t="str">
        <f>IF(B193=0,"",IF('Imperial Data'!AG182&gt;=1, INDEX(Imperial_Incremental[], MATCH('Imperial Data'!AG182, Imperial_Incremental[Height], 1), MATCH('Cumulative Volumes Imperial'!$F$4 &amp; "EC", Imperial_Incremental[#Headers], 0)), 0))</f>
        <v/>
      </c>
      <c r="E193" s="30" t="str">
        <f t="shared" si="32"/>
        <v/>
      </c>
      <c r="F193" s="30" t="str">
        <f t="shared" si="33"/>
        <v/>
      </c>
      <c r="G193" s="30" t="str">
        <f>IF(B193=0,"",IF('Cumulative Volumes Imperial'!$AQ$17=FALSE,I193,H193))</f>
        <v/>
      </c>
      <c r="H193" s="30" t="str">
        <f t="shared" si="34"/>
        <v/>
      </c>
      <c r="I193" s="30" t="str">
        <f t="shared" si="35"/>
        <v/>
      </c>
      <c r="J193" s="30" t="str">
        <f>IF(B193="","",IF('Cumulative Volumes Imperial'!$AQ$17=FALSE,L193,K193))</f>
        <v/>
      </c>
      <c r="K193" s="30" t="str">
        <f t="shared" si="36"/>
        <v/>
      </c>
      <c r="L193" s="30" t="str">
        <f t="shared" si="37"/>
        <v/>
      </c>
      <c r="M193" s="30" t="str">
        <f>IF($E$8+45+$E$9&gt;989,"FALSE",IF(B193="","",IF('Cumulative Volumes Imperial'!$AQ$17=FALSE,O193,N193)))</f>
        <v/>
      </c>
      <c r="N193" s="30" t="str">
        <f t="shared" si="38"/>
        <v/>
      </c>
      <c r="O193" s="30" t="str">
        <f>IF(B193=0,"",IF('Cumulative Volumes Imperial'!$AQ$17=FALSE,(V193*$E$4)+(W193*$E$5),N193))</f>
        <v/>
      </c>
      <c r="P193" s="30" t="str">
        <f>IF(B193=0,"",(((1/12)*'Imperial Data'!$AC$4*'Imperial Data'!$AC$5)-C193)*$H$6)</f>
        <v/>
      </c>
      <c r="Q193" s="30" t="str">
        <f t="shared" si="39"/>
        <v/>
      </c>
      <c r="R193" s="30" t="str">
        <f>IF(B193=0,"",(((1/12)*'Imperial Data'!$AC$5*'Imperial Data'!$AC$7)-D193)*$H$6)</f>
        <v/>
      </c>
      <c r="S193" s="30" t="str">
        <f t="shared" si="40"/>
        <v/>
      </c>
      <c r="T193" s="30" t="str">
        <f t="shared" si="41"/>
        <v/>
      </c>
      <c r="U193" s="30" t="str">
        <f t="shared" si="42"/>
        <v/>
      </c>
      <c r="V193" s="30" t="str">
        <f t="shared" si="43"/>
        <v/>
      </c>
      <c r="W193" s="30" t="str">
        <f t="shared" si="45"/>
        <v/>
      </c>
      <c r="X193" s="31" t="str">
        <f t="shared" si="44"/>
        <v/>
      </c>
      <c r="Y193" s="30" t="str">
        <f t="shared" si="46"/>
        <v/>
      </c>
    </row>
    <row r="194" spans="1:25" x14ac:dyDescent="0.2">
      <c r="A194" s="2">
        <v>181</v>
      </c>
      <c r="B194" s="34">
        <f t="shared" si="47"/>
        <v>0</v>
      </c>
      <c r="C194" s="30" t="str">
        <f>IF(B194=0,"",IF('Imperial Data'!AG183&gt;=1, INDEX(Imperial_Incremental[], MATCH('Imperial Data'!AG183, Imperial_Incremental[Height], 1), MATCH('Cumulative Volumes Imperial'!$F$4, Imperial_Incremental[#Headers], 0)), 0))</f>
        <v/>
      </c>
      <c r="D194" s="30" t="str">
        <f>IF(B194=0,"",IF('Imperial Data'!AG183&gt;=1, INDEX(Imperial_Incremental[], MATCH('Imperial Data'!AG183, Imperial_Incremental[Height], 1), MATCH('Cumulative Volumes Imperial'!$F$4 &amp; "EC", Imperial_Incremental[#Headers], 0)), 0))</f>
        <v/>
      </c>
      <c r="E194" s="30" t="str">
        <f t="shared" si="32"/>
        <v/>
      </c>
      <c r="F194" s="30" t="str">
        <f t="shared" si="33"/>
        <v/>
      </c>
      <c r="G194" s="30" t="str">
        <f>IF(B194=0,"",IF('Cumulative Volumes Imperial'!$AQ$17=FALSE,I194,H194))</f>
        <v/>
      </c>
      <c r="H194" s="30" t="str">
        <f t="shared" si="34"/>
        <v/>
      </c>
      <c r="I194" s="30" t="str">
        <f t="shared" si="35"/>
        <v/>
      </c>
      <c r="J194" s="30" t="str">
        <f>IF(B194="","",IF('Cumulative Volumes Imperial'!$AQ$17=FALSE,L194,K194))</f>
        <v/>
      </c>
      <c r="K194" s="30" t="str">
        <f t="shared" si="36"/>
        <v/>
      </c>
      <c r="L194" s="30" t="str">
        <f t="shared" si="37"/>
        <v/>
      </c>
      <c r="M194" s="30" t="str">
        <f>IF($E$8+45+$E$9&gt;989,"FALSE",IF(B194="","",IF('Cumulative Volumes Imperial'!$AQ$17=FALSE,O194,N194)))</f>
        <v/>
      </c>
      <c r="N194" s="30" t="str">
        <f t="shared" si="38"/>
        <v/>
      </c>
      <c r="O194" s="30" t="str">
        <f>IF(B194=0,"",IF('Cumulative Volumes Imperial'!$AQ$17=FALSE,(V194*$E$4)+(W194*$E$5),N194))</f>
        <v/>
      </c>
      <c r="P194" s="30" t="str">
        <f>IF(B194=0,"",(((1/12)*'Imperial Data'!$AC$4*'Imperial Data'!$AC$5)-C194)*$H$6)</f>
        <v/>
      </c>
      <c r="Q194" s="30" t="str">
        <f t="shared" si="39"/>
        <v/>
      </c>
      <c r="R194" s="30" t="str">
        <f>IF(B194=0,"",(((1/12)*'Imperial Data'!$AC$5*'Imperial Data'!$AC$7)-D194)*$H$6)</f>
        <v/>
      </c>
      <c r="S194" s="30" t="str">
        <f t="shared" si="40"/>
        <v/>
      </c>
      <c r="T194" s="30" t="str">
        <f t="shared" si="41"/>
        <v/>
      </c>
      <c r="U194" s="30" t="str">
        <f t="shared" si="42"/>
        <v/>
      </c>
      <c r="V194" s="30" t="str">
        <f t="shared" si="43"/>
        <v/>
      </c>
      <c r="W194" s="30" t="str">
        <f t="shared" si="45"/>
        <v/>
      </c>
      <c r="X194" s="31" t="str">
        <f t="shared" si="44"/>
        <v/>
      </c>
      <c r="Y194" s="30" t="str">
        <f t="shared" si="46"/>
        <v/>
      </c>
    </row>
    <row r="195" spans="1:25" x14ac:dyDescent="0.2">
      <c r="A195" s="2">
        <v>182</v>
      </c>
      <c r="B195" s="34">
        <f t="shared" si="47"/>
        <v>0</v>
      </c>
      <c r="C195" s="30" t="str">
        <f>IF(B195=0,"",IF('Imperial Data'!AG184&gt;=1, INDEX(Imperial_Incremental[], MATCH('Imperial Data'!AG184, Imperial_Incremental[Height], 1), MATCH('Cumulative Volumes Imperial'!$F$4, Imperial_Incremental[#Headers], 0)), 0))</f>
        <v/>
      </c>
      <c r="D195" s="30" t="str">
        <f>IF(B195=0,"",IF('Imperial Data'!AG184&gt;=1, INDEX(Imperial_Incremental[], MATCH('Imperial Data'!AG184, Imperial_Incremental[Height], 1), MATCH('Cumulative Volumes Imperial'!$F$4 &amp; "EC", Imperial_Incremental[#Headers], 0)), 0))</f>
        <v/>
      </c>
      <c r="E195" s="30" t="str">
        <f t="shared" ref="E195:E223" si="48">IF(B195=0,"",$E$4*C195)</f>
        <v/>
      </c>
      <c r="F195" s="30" t="str">
        <f t="shared" ref="F195:F223" si="49">IF(B195=0,"",$E$5*D195)</f>
        <v/>
      </c>
      <c r="G195" s="30" t="str">
        <f>IF(B195=0,"",IF('Cumulative Volumes Imperial'!$AQ$17=FALSE,I195,H195))</f>
        <v/>
      </c>
      <c r="H195" s="30" t="str">
        <f t="shared" ref="H195:H223" si="50">IF(B195=0,"",$H$6*($E$10*(1/12)-(E195+F195)))</f>
        <v/>
      </c>
      <c r="I195" s="30" t="str">
        <f t="shared" ref="I195:I223" si="51">IF(B195=0,"",Q195+S195)</f>
        <v/>
      </c>
      <c r="J195" s="30" t="str">
        <f>IF(B195="","",IF('Cumulative Volumes Imperial'!$AQ$17=FALSE,L195,K195))</f>
        <v/>
      </c>
      <c r="K195" s="30" t="str">
        <f t="shared" ref="K195:K223" si="52">IF(B195=0,"",H195+F195+E195)</f>
        <v/>
      </c>
      <c r="L195" s="30" t="str">
        <f t="shared" ref="L195:L223" si="53">IF(B195=0,"",E195+F195+I195)</f>
        <v/>
      </c>
      <c r="M195" s="30" t="str">
        <f>IF($E$8+45+$E$9&gt;989,"FALSE",IF(B195="","",IF('Cumulative Volumes Imperial'!$AQ$17=FALSE,O195,N195)))</f>
        <v/>
      </c>
      <c r="N195" s="30" t="str">
        <f t="shared" ref="N195:N223" si="54">IF(B195=0,"",IF(B195=1,K195,N196+K195))</f>
        <v/>
      </c>
      <c r="O195" s="30" t="str">
        <f>IF(B195=0,"",IF('Cumulative Volumes Imperial'!$AQ$17=FALSE,(V195*$E$4)+(W195*$E$5),N195))</f>
        <v/>
      </c>
      <c r="P195" s="30" t="str">
        <f>IF(B195=0,"",(((1/12)*'Imperial Data'!$AC$4*'Imperial Data'!$AC$5)-C195)*$H$6)</f>
        <v/>
      </c>
      <c r="Q195" s="30" t="str">
        <f t="shared" ref="Q195:Q223" si="55">IF(B195=0,"",P195*$E$4)</f>
        <v/>
      </c>
      <c r="R195" s="30" t="str">
        <f>IF(B195=0,"",(((1/12)*'Imperial Data'!$AC$5*'Imperial Data'!$AC$7)-D195)*$H$6)</f>
        <v/>
      </c>
      <c r="S195" s="30" t="str">
        <f t="shared" ref="S195:S223" si="56">IF(B195=0,"",R195*$E$5)</f>
        <v/>
      </c>
      <c r="T195" s="30" t="str">
        <f t="shared" ref="T195:T223" si="57">IF(B195=0,"",IF(B195=1,C195,T196+C195))</f>
        <v/>
      </c>
      <c r="U195" s="30" t="str">
        <f t="shared" ref="U195:U223" si="58">IF(B195=0,"",IF(B195=1,D195,U196+D195))</f>
        <v/>
      </c>
      <c r="V195" s="30" t="str">
        <f t="shared" ref="V195:V223" si="59">IF(B195=0,"",IF(B195=1,C195+P195,V196+C195+P195))</f>
        <v/>
      </c>
      <c r="W195" s="30" t="str">
        <f t="shared" ref="W195:W223" si="60">IF(B195=0,"",IF(B195=1,D195+R195,W196+D195+R195))</f>
        <v/>
      </c>
      <c r="X195" s="31" t="str">
        <f t="shared" ref="X195:X223" si="61">IF(B195=0,"",IF(B195=1,P195+R195,(X196+P195+R195)))</f>
        <v/>
      </c>
      <c r="Y195" s="30" t="str">
        <f t="shared" si="46"/>
        <v/>
      </c>
    </row>
    <row r="196" spans="1:25" x14ac:dyDescent="0.2">
      <c r="A196" s="2">
        <v>183</v>
      </c>
      <c r="B196" s="34">
        <f t="shared" si="47"/>
        <v>0</v>
      </c>
      <c r="C196" s="30" t="str">
        <f>IF(B196=0,"",IF('Imperial Data'!AG185&gt;=1, INDEX(Imperial_Incremental[], MATCH('Imperial Data'!AG185, Imperial_Incremental[Height], 1), MATCH('Cumulative Volumes Imperial'!$F$4, Imperial_Incremental[#Headers], 0)), 0))</f>
        <v/>
      </c>
      <c r="D196" s="30" t="str">
        <f>IF(B196=0,"",IF('Imperial Data'!AG185&gt;=1, INDEX(Imperial_Incremental[], MATCH('Imperial Data'!AG185, Imperial_Incremental[Height], 1), MATCH('Cumulative Volumes Imperial'!$F$4 &amp; "EC", Imperial_Incremental[#Headers], 0)), 0))</f>
        <v/>
      </c>
      <c r="E196" s="30" t="str">
        <f t="shared" si="48"/>
        <v/>
      </c>
      <c r="F196" s="30" t="str">
        <f t="shared" si="49"/>
        <v/>
      </c>
      <c r="G196" s="30" t="str">
        <f>IF(B196=0,"",IF('Cumulative Volumes Imperial'!$AQ$17=FALSE,I196,H196))</f>
        <v/>
      </c>
      <c r="H196" s="30" t="str">
        <f t="shared" si="50"/>
        <v/>
      </c>
      <c r="I196" s="30" t="str">
        <f t="shared" si="51"/>
        <v/>
      </c>
      <c r="J196" s="30" t="str">
        <f>IF(B196="","",IF('Cumulative Volumes Imperial'!$AQ$17=FALSE,L196,K196))</f>
        <v/>
      </c>
      <c r="K196" s="30" t="str">
        <f t="shared" si="52"/>
        <v/>
      </c>
      <c r="L196" s="30" t="str">
        <f t="shared" si="53"/>
        <v/>
      </c>
      <c r="M196" s="30" t="str">
        <f>IF($E$8+45+$E$9&gt;989,"FALSE",IF(B196="","",IF('Cumulative Volumes Imperial'!$AQ$17=FALSE,O196,N196)))</f>
        <v/>
      </c>
      <c r="N196" s="30" t="str">
        <f t="shared" si="54"/>
        <v/>
      </c>
      <c r="O196" s="30" t="str">
        <f>IF(B196=0,"",IF('Cumulative Volumes Imperial'!$AQ$17=FALSE,(V196*$E$4)+(W196*$E$5),N196))</f>
        <v/>
      </c>
      <c r="P196" s="30" t="str">
        <f>IF(B196=0,"",(((1/12)*'Imperial Data'!$AC$4*'Imperial Data'!$AC$5)-C196)*$H$6)</f>
        <v/>
      </c>
      <c r="Q196" s="30" t="str">
        <f t="shared" si="55"/>
        <v/>
      </c>
      <c r="R196" s="30" t="str">
        <f>IF(B196=0,"",(((1/12)*'Imperial Data'!$AC$5*'Imperial Data'!$AC$7)-D196)*$H$6)</f>
        <v/>
      </c>
      <c r="S196" s="30" t="str">
        <f t="shared" si="56"/>
        <v/>
      </c>
      <c r="T196" s="30" t="str">
        <f t="shared" si="57"/>
        <v/>
      </c>
      <c r="U196" s="30" t="str">
        <f t="shared" si="58"/>
        <v/>
      </c>
      <c r="V196" s="30" t="str">
        <f t="shared" si="59"/>
        <v/>
      </c>
      <c r="W196" s="30" t="str">
        <f t="shared" si="60"/>
        <v/>
      </c>
      <c r="X196" s="31" t="str">
        <f t="shared" si="61"/>
        <v/>
      </c>
      <c r="Y196" s="30" t="str">
        <f t="shared" si="46"/>
        <v/>
      </c>
    </row>
    <row r="197" spans="1:25" x14ac:dyDescent="0.2">
      <c r="A197" s="2">
        <v>184</v>
      </c>
      <c r="B197" s="34">
        <f t="shared" si="47"/>
        <v>0</v>
      </c>
      <c r="C197" s="30" t="str">
        <f>IF(B197=0,"",IF('Imperial Data'!AG186&gt;=1, INDEX(Imperial_Incremental[], MATCH('Imperial Data'!AG186, Imperial_Incremental[Height], 1), MATCH('Cumulative Volumes Imperial'!$F$4, Imperial_Incremental[#Headers], 0)), 0))</f>
        <v/>
      </c>
      <c r="D197" s="30" t="str">
        <f>IF(B197=0,"",IF('Imperial Data'!AG186&gt;=1, INDEX(Imperial_Incremental[], MATCH('Imperial Data'!AG186, Imperial_Incremental[Height], 1), MATCH('Cumulative Volumes Imperial'!$F$4 &amp; "EC", Imperial_Incremental[#Headers], 0)), 0))</f>
        <v/>
      </c>
      <c r="E197" s="30" t="str">
        <f t="shared" si="48"/>
        <v/>
      </c>
      <c r="F197" s="30" t="str">
        <f t="shared" si="49"/>
        <v/>
      </c>
      <c r="G197" s="30" t="str">
        <f>IF(B197=0,"",IF('Cumulative Volumes Imperial'!$AQ$17=FALSE,I197,H197))</f>
        <v/>
      </c>
      <c r="H197" s="30" t="str">
        <f t="shared" si="50"/>
        <v/>
      </c>
      <c r="I197" s="30" t="str">
        <f t="shared" si="51"/>
        <v/>
      </c>
      <c r="J197" s="30" t="str">
        <f>IF(B197="","",IF('Cumulative Volumes Imperial'!$AQ$17=FALSE,L197,K197))</f>
        <v/>
      </c>
      <c r="K197" s="30" t="str">
        <f t="shared" si="52"/>
        <v/>
      </c>
      <c r="L197" s="30" t="str">
        <f t="shared" si="53"/>
        <v/>
      </c>
      <c r="M197" s="30" t="str">
        <f>IF($E$8+45+$E$9&gt;989,"FALSE",IF(B197="","",IF('Cumulative Volumes Imperial'!$AQ$17=FALSE,O197,N197)))</f>
        <v/>
      </c>
      <c r="N197" s="30" t="str">
        <f t="shared" si="54"/>
        <v/>
      </c>
      <c r="O197" s="30" t="str">
        <f>IF(B197=0,"",IF('Cumulative Volumes Imperial'!$AQ$17=FALSE,(V197*$E$4)+(W197*$E$5),N197))</f>
        <v/>
      </c>
      <c r="P197" s="30" t="str">
        <f>IF(B197=0,"",(((1/12)*'Imperial Data'!$AC$4*'Imperial Data'!$AC$5)-C197)*$H$6)</f>
        <v/>
      </c>
      <c r="Q197" s="30" t="str">
        <f t="shared" si="55"/>
        <v/>
      </c>
      <c r="R197" s="30" t="str">
        <f>IF(B197=0,"",(((1/12)*'Imperial Data'!$AC$5*'Imperial Data'!$AC$7)-D197)*$H$6)</f>
        <v/>
      </c>
      <c r="S197" s="30" t="str">
        <f t="shared" si="56"/>
        <v/>
      </c>
      <c r="T197" s="30" t="str">
        <f t="shared" si="57"/>
        <v/>
      </c>
      <c r="U197" s="30" t="str">
        <f t="shared" si="58"/>
        <v/>
      </c>
      <c r="V197" s="30" t="str">
        <f t="shared" si="59"/>
        <v/>
      </c>
      <c r="W197" s="30" t="str">
        <f t="shared" si="60"/>
        <v/>
      </c>
      <c r="X197" s="31" t="str">
        <f t="shared" si="61"/>
        <v/>
      </c>
      <c r="Y197" s="30" t="str">
        <f t="shared" si="46"/>
        <v/>
      </c>
    </row>
    <row r="198" spans="1:25" x14ac:dyDescent="0.2">
      <c r="A198" s="2">
        <v>185</v>
      </c>
      <c r="B198" s="34">
        <f t="shared" si="47"/>
        <v>0</v>
      </c>
      <c r="C198" s="30" t="str">
        <f>IF(B198=0,"",IF('Imperial Data'!AG187&gt;=1, INDEX(Imperial_Incremental[], MATCH('Imperial Data'!AG187, Imperial_Incremental[Height], 1), MATCH('Cumulative Volumes Imperial'!$F$4, Imperial_Incremental[#Headers], 0)), 0))</f>
        <v/>
      </c>
      <c r="D198" s="30" t="str">
        <f>IF(B198=0,"",IF('Imperial Data'!AG187&gt;=1, INDEX(Imperial_Incremental[], MATCH('Imperial Data'!AG187, Imperial_Incremental[Height], 1), MATCH('Cumulative Volumes Imperial'!$F$4 &amp; "EC", Imperial_Incremental[#Headers], 0)), 0))</f>
        <v/>
      </c>
      <c r="E198" s="30" t="str">
        <f t="shared" si="48"/>
        <v/>
      </c>
      <c r="F198" s="30" t="str">
        <f t="shared" si="49"/>
        <v/>
      </c>
      <c r="G198" s="30" t="str">
        <f>IF(B198=0,"",IF('Cumulative Volumes Imperial'!$AQ$17=FALSE,I198,H198))</f>
        <v/>
      </c>
      <c r="H198" s="30" t="str">
        <f t="shared" si="50"/>
        <v/>
      </c>
      <c r="I198" s="30" t="str">
        <f t="shared" si="51"/>
        <v/>
      </c>
      <c r="J198" s="30" t="str">
        <f>IF(B198="","",IF('Cumulative Volumes Imperial'!$AQ$17=FALSE,L198,K198))</f>
        <v/>
      </c>
      <c r="K198" s="30" t="str">
        <f t="shared" si="52"/>
        <v/>
      </c>
      <c r="L198" s="30" t="str">
        <f t="shared" si="53"/>
        <v/>
      </c>
      <c r="M198" s="30" t="str">
        <f>IF($E$8+45+$E$9&gt;989,"FALSE",IF(B198="","",IF('Cumulative Volumes Imperial'!$AQ$17=FALSE,O198,N198)))</f>
        <v/>
      </c>
      <c r="N198" s="30" t="str">
        <f t="shared" si="54"/>
        <v/>
      </c>
      <c r="O198" s="30" t="str">
        <f>IF(B198=0,"",IF('Cumulative Volumes Imperial'!$AQ$17=FALSE,(V198*$E$4)+(W198*$E$5),N198))</f>
        <v/>
      </c>
      <c r="P198" s="30" t="str">
        <f>IF(B198=0,"",(((1/12)*'Imperial Data'!$AC$4*'Imperial Data'!$AC$5)-C198)*$H$6)</f>
        <v/>
      </c>
      <c r="Q198" s="30" t="str">
        <f t="shared" si="55"/>
        <v/>
      </c>
      <c r="R198" s="30" t="str">
        <f>IF(B198=0,"",(((1/12)*'Imperial Data'!$AC$5*'Imperial Data'!$AC$7)-D198)*$H$6)</f>
        <v/>
      </c>
      <c r="S198" s="30" t="str">
        <f t="shared" si="56"/>
        <v/>
      </c>
      <c r="T198" s="30" t="str">
        <f t="shared" si="57"/>
        <v/>
      </c>
      <c r="U198" s="30" t="str">
        <f t="shared" si="58"/>
        <v/>
      </c>
      <c r="V198" s="30" t="str">
        <f t="shared" si="59"/>
        <v/>
      </c>
      <c r="W198" s="30" t="str">
        <f t="shared" si="60"/>
        <v/>
      </c>
      <c r="X198" s="31" t="str">
        <f t="shared" si="61"/>
        <v/>
      </c>
      <c r="Y198" s="30" t="str">
        <f t="shared" si="46"/>
        <v/>
      </c>
    </row>
    <row r="199" spans="1:25" x14ac:dyDescent="0.2">
      <c r="A199" s="2">
        <v>186</v>
      </c>
      <c r="B199" s="34">
        <f t="shared" si="47"/>
        <v>0</v>
      </c>
      <c r="C199" s="30" t="str">
        <f>IF(B199=0,"",IF('Imperial Data'!AG188&gt;=1, INDEX(Imperial_Incremental[], MATCH('Imperial Data'!AG188, Imperial_Incremental[Height], 1), MATCH('Cumulative Volumes Imperial'!$F$4, Imperial_Incremental[#Headers], 0)), 0))</f>
        <v/>
      </c>
      <c r="D199" s="30" t="str">
        <f>IF(B199=0,"",IF('Imperial Data'!AG188&gt;=1, INDEX(Imperial_Incremental[], MATCH('Imperial Data'!AG188, Imperial_Incremental[Height], 1), MATCH('Cumulative Volumes Imperial'!$F$4 &amp; "EC", Imperial_Incremental[#Headers], 0)), 0))</f>
        <v/>
      </c>
      <c r="E199" s="30" t="str">
        <f t="shared" si="48"/>
        <v/>
      </c>
      <c r="F199" s="30" t="str">
        <f t="shared" si="49"/>
        <v/>
      </c>
      <c r="G199" s="30" t="str">
        <f>IF(B199=0,"",IF('Cumulative Volumes Imperial'!$AQ$17=FALSE,I199,H199))</f>
        <v/>
      </c>
      <c r="H199" s="30" t="str">
        <f t="shared" si="50"/>
        <v/>
      </c>
      <c r="I199" s="30" t="str">
        <f t="shared" si="51"/>
        <v/>
      </c>
      <c r="J199" s="30" t="str">
        <f>IF(B199="","",IF('Cumulative Volumes Imperial'!$AQ$17=FALSE,L199,K199))</f>
        <v/>
      </c>
      <c r="K199" s="30" t="str">
        <f t="shared" si="52"/>
        <v/>
      </c>
      <c r="L199" s="30" t="str">
        <f t="shared" si="53"/>
        <v/>
      </c>
      <c r="M199" s="30" t="str">
        <f>IF($E$8+45+$E$9&gt;989,"FALSE",IF(B199="","",IF('Cumulative Volumes Imperial'!$AQ$17=FALSE,O199,N199)))</f>
        <v/>
      </c>
      <c r="N199" s="30" t="str">
        <f t="shared" si="54"/>
        <v/>
      </c>
      <c r="O199" s="30" t="str">
        <f>IF(B199=0,"",IF('Cumulative Volumes Imperial'!$AQ$17=FALSE,(V199*$E$4)+(W199*$E$5),N199))</f>
        <v/>
      </c>
      <c r="P199" s="30" t="str">
        <f>IF(B199=0,"",(((1/12)*'Imperial Data'!$AC$4*'Imperial Data'!$AC$5)-C199)*$H$6)</f>
        <v/>
      </c>
      <c r="Q199" s="30" t="str">
        <f t="shared" si="55"/>
        <v/>
      </c>
      <c r="R199" s="30" t="str">
        <f>IF(B199=0,"",(((1/12)*'Imperial Data'!$AC$5*'Imperial Data'!$AC$7)-D199)*$H$6)</f>
        <v/>
      </c>
      <c r="S199" s="30" t="str">
        <f t="shared" si="56"/>
        <v/>
      </c>
      <c r="T199" s="30" t="str">
        <f t="shared" si="57"/>
        <v/>
      </c>
      <c r="U199" s="30" t="str">
        <f t="shared" si="58"/>
        <v/>
      </c>
      <c r="V199" s="30" t="str">
        <f t="shared" si="59"/>
        <v/>
      </c>
      <c r="W199" s="30" t="str">
        <f t="shared" si="60"/>
        <v/>
      </c>
      <c r="X199" s="31" t="str">
        <f t="shared" si="61"/>
        <v/>
      </c>
      <c r="Y199" s="30" t="str">
        <f t="shared" si="46"/>
        <v/>
      </c>
    </row>
    <row r="200" spans="1:25" x14ac:dyDescent="0.2">
      <c r="A200" s="2">
        <v>187</v>
      </c>
      <c r="B200" s="34">
        <f t="shared" si="47"/>
        <v>0</v>
      </c>
      <c r="C200" s="30" t="str">
        <f>IF(B200=0,"",IF('Imperial Data'!AG189&gt;=1, INDEX(Imperial_Incremental[], MATCH('Imperial Data'!AG189, Imperial_Incremental[Height], 1), MATCH('Cumulative Volumes Imperial'!$F$4, Imperial_Incremental[#Headers], 0)), 0))</f>
        <v/>
      </c>
      <c r="D200" s="30" t="str">
        <f>IF(B200=0,"",IF('Imperial Data'!AG189&gt;=1, INDEX(Imperial_Incremental[], MATCH('Imperial Data'!AG189, Imperial_Incremental[Height], 1), MATCH('Cumulative Volumes Imperial'!$F$4 &amp; "EC", Imperial_Incremental[#Headers], 0)), 0))</f>
        <v/>
      </c>
      <c r="E200" s="30" t="str">
        <f t="shared" si="48"/>
        <v/>
      </c>
      <c r="F200" s="30" t="str">
        <f t="shared" si="49"/>
        <v/>
      </c>
      <c r="G200" s="30" t="str">
        <f>IF(B200=0,"",IF('Cumulative Volumes Imperial'!$AQ$17=FALSE,I200,H200))</f>
        <v/>
      </c>
      <c r="H200" s="30" t="str">
        <f t="shared" si="50"/>
        <v/>
      </c>
      <c r="I200" s="30" t="str">
        <f t="shared" si="51"/>
        <v/>
      </c>
      <c r="J200" s="30" t="str">
        <f>IF(B200="","",IF('Cumulative Volumes Imperial'!$AQ$17=FALSE,L200,K200))</f>
        <v/>
      </c>
      <c r="K200" s="30" t="str">
        <f t="shared" si="52"/>
        <v/>
      </c>
      <c r="L200" s="30" t="str">
        <f t="shared" si="53"/>
        <v/>
      </c>
      <c r="M200" s="30" t="str">
        <f>IF($E$8+45+$E$9&gt;989,"FALSE",IF(B200="","",IF('Cumulative Volumes Imperial'!$AQ$17=FALSE,O200,N200)))</f>
        <v/>
      </c>
      <c r="N200" s="30" t="str">
        <f t="shared" si="54"/>
        <v/>
      </c>
      <c r="O200" s="30" t="str">
        <f>IF(B200=0,"",IF('Cumulative Volumes Imperial'!$AQ$17=FALSE,(V200*$E$4)+(W200*$E$5),N200))</f>
        <v/>
      </c>
      <c r="P200" s="30" t="str">
        <f>IF(B200=0,"",(((1/12)*'Imperial Data'!$AC$4*'Imperial Data'!$AC$5)-C200)*$H$6)</f>
        <v/>
      </c>
      <c r="Q200" s="30" t="str">
        <f t="shared" si="55"/>
        <v/>
      </c>
      <c r="R200" s="30" t="str">
        <f>IF(B200=0,"",(((1/12)*'Imperial Data'!$AC$5*'Imperial Data'!$AC$7)-D200)*$H$6)</f>
        <v/>
      </c>
      <c r="S200" s="30" t="str">
        <f t="shared" si="56"/>
        <v/>
      </c>
      <c r="T200" s="30" t="str">
        <f t="shared" si="57"/>
        <v/>
      </c>
      <c r="U200" s="30" t="str">
        <f t="shared" si="58"/>
        <v/>
      </c>
      <c r="V200" s="30" t="str">
        <f t="shared" si="59"/>
        <v/>
      </c>
      <c r="W200" s="30" t="str">
        <f t="shared" si="60"/>
        <v/>
      </c>
      <c r="X200" s="31" t="str">
        <f t="shared" si="61"/>
        <v/>
      </c>
      <c r="Y200" s="30" t="str">
        <f t="shared" si="46"/>
        <v/>
      </c>
    </row>
    <row r="201" spans="1:25" x14ac:dyDescent="0.2">
      <c r="A201" s="2">
        <v>188</v>
      </c>
      <c r="B201" s="34">
        <f t="shared" si="47"/>
        <v>0</v>
      </c>
      <c r="C201" s="30" t="str">
        <f>IF(B201=0,"",IF('Imperial Data'!AG190&gt;=1, INDEX(Imperial_Incremental[], MATCH('Imperial Data'!AG190, Imperial_Incremental[Height], 1), MATCH('Cumulative Volumes Imperial'!$F$4, Imperial_Incremental[#Headers], 0)), 0))</f>
        <v/>
      </c>
      <c r="D201" s="30" t="str">
        <f>IF(B201=0,"",IF('Imperial Data'!AG190&gt;=1, INDEX(Imperial_Incremental[], MATCH('Imperial Data'!AG190, Imperial_Incremental[Height], 1), MATCH('Cumulative Volumes Imperial'!$F$4 &amp; "EC", Imperial_Incremental[#Headers], 0)), 0))</f>
        <v/>
      </c>
      <c r="E201" s="30" t="str">
        <f t="shared" si="48"/>
        <v/>
      </c>
      <c r="F201" s="30" t="str">
        <f t="shared" si="49"/>
        <v/>
      </c>
      <c r="G201" s="30" t="str">
        <f>IF(B201=0,"",IF('Cumulative Volumes Imperial'!$AQ$17=FALSE,I201,H201))</f>
        <v/>
      </c>
      <c r="H201" s="30" t="str">
        <f t="shared" si="50"/>
        <v/>
      </c>
      <c r="I201" s="30" t="str">
        <f t="shared" si="51"/>
        <v/>
      </c>
      <c r="J201" s="30" t="str">
        <f>IF(B201="","",IF('Cumulative Volumes Imperial'!$AQ$17=FALSE,L201,K201))</f>
        <v/>
      </c>
      <c r="K201" s="30" t="str">
        <f t="shared" si="52"/>
        <v/>
      </c>
      <c r="L201" s="30" t="str">
        <f t="shared" si="53"/>
        <v/>
      </c>
      <c r="M201" s="30" t="str">
        <f>IF($E$8+45+$E$9&gt;989,"FALSE",IF(B201="","",IF('Cumulative Volumes Imperial'!$AQ$17=FALSE,O201,N201)))</f>
        <v/>
      </c>
      <c r="N201" s="30" t="str">
        <f t="shared" si="54"/>
        <v/>
      </c>
      <c r="O201" s="30" t="str">
        <f>IF(B201=0,"",IF('Cumulative Volumes Imperial'!$AQ$17=FALSE,(V201*$E$4)+(W201*$E$5),N201))</f>
        <v/>
      </c>
      <c r="P201" s="30" t="str">
        <f>IF(B201=0,"",(((1/12)*'Imperial Data'!$AC$4*'Imperial Data'!$AC$5)-C201)*$H$6)</f>
        <v/>
      </c>
      <c r="Q201" s="30" t="str">
        <f t="shared" si="55"/>
        <v/>
      </c>
      <c r="R201" s="30" t="str">
        <f>IF(B201=0,"",(((1/12)*'Imperial Data'!$AC$5*'Imperial Data'!$AC$7)-D201)*$H$6)</f>
        <v/>
      </c>
      <c r="S201" s="30" t="str">
        <f t="shared" si="56"/>
        <v/>
      </c>
      <c r="T201" s="30" t="str">
        <f t="shared" si="57"/>
        <v/>
      </c>
      <c r="U201" s="30" t="str">
        <f t="shared" si="58"/>
        <v/>
      </c>
      <c r="V201" s="30" t="str">
        <f t="shared" si="59"/>
        <v/>
      </c>
      <c r="W201" s="30" t="str">
        <f t="shared" si="60"/>
        <v/>
      </c>
      <c r="X201" s="31" t="str">
        <f t="shared" si="61"/>
        <v/>
      </c>
      <c r="Y201" s="30" t="str">
        <f t="shared" si="46"/>
        <v/>
      </c>
    </row>
    <row r="202" spans="1:25" x14ac:dyDescent="0.2">
      <c r="A202" s="2">
        <v>189</v>
      </c>
      <c r="B202" s="34">
        <f t="shared" si="47"/>
        <v>0</v>
      </c>
      <c r="C202" s="30" t="str">
        <f>IF(B202=0,"",IF('Imperial Data'!AG191&gt;=1, INDEX(Imperial_Incremental[], MATCH('Imperial Data'!AG191, Imperial_Incremental[Height], 1), MATCH('Cumulative Volumes Imperial'!$F$4, Imperial_Incremental[#Headers], 0)), 0))</f>
        <v/>
      </c>
      <c r="D202" s="30" t="str">
        <f>IF(B202=0,"",IF('Imperial Data'!AG191&gt;=1, INDEX(Imperial_Incremental[], MATCH('Imperial Data'!AG191, Imperial_Incremental[Height], 1), MATCH('Cumulative Volumes Imperial'!$F$4 &amp; "EC", Imperial_Incremental[#Headers], 0)), 0))</f>
        <v/>
      </c>
      <c r="E202" s="30" t="str">
        <f t="shared" si="48"/>
        <v/>
      </c>
      <c r="F202" s="30" t="str">
        <f t="shared" si="49"/>
        <v/>
      </c>
      <c r="G202" s="30" t="str">
        <f>IF(B202=0,"",IF('Cumulative Volumes Imperial'!$AQ$17=FALSE,I202,H202))</f>
        <v/>
      </c>
      <c r="H202" s="30" t="str">
        <f t="shared" si="50"/>
        <v/>
      </c>
      <c r="I202" s="30" t="str">
        <f t="shared" si="51"/>
        <v/>
      </c>
      <c r="J202" s="30" t="str">
        <f>IF(B202="","",IF('Cumulative Volumes Imperial'!$AQ$17=FALSE,L202,K202))</f>
        <v/>
      </c>
      <c r="K202" s="30" t="str">
        <f t="shared" si="52"/>
        <v/>
      </c>
      <c r="L202" s="30" t="str">
        <f t="shared" si="53"/>
        <v/>
      </c>
      <c r="M202" s="30" t="str">
        <f>IF($E$8+45+$E$9&gt;989,"FALSE",IF(B202="","",IF('Cumulative Volumes Imperial'!$AQ$17=FALSE,O202,N202)))</f>
        <v/>
      </c>
      <c r="N202" s="30" t="str">
        <f t="shared" si="54"/>
        <v/>
      </c>
      <c r="O202" s="30" t="str">
        <f>IF(B202=0,"",IF('Cumulative Volumes Imperial'!$AQ$17=FALSE,(V202*$E$4)+(W202*$E$5),N202))</f>
        <v/>
      </c>
      <c r="P202" s="30" t="str">
        <f>IF(B202=0,"",(((1/12)*'Imperial Data'!$AC$4*'Imperial Data'!$AC$5)-C202)*$H$6)</f>
        <v/>
      </c>
      <c r="Q202" s="30" t="str">
        <f t="shared" si="55"/>
        <v/>
      </c>
      <c r="R202" s="30" t="str">
        <f>IF(B202=0,"",(((1/12)*'Imperial Data'!$AC$5*'Imperial Data'!$AC$7)-D202)*$H$6)</f>
        <v/>
      </c>
      <c r="S202" s="30" t="str">
        <f t="shared" si="56"/>
        <v/>
      </c>
      <c r="T202" s="30" t="str">
        <f t="shared" si="57"/>
        <v/>
      </c>
      <c r="U202" s="30" t="str">
        <f t="shared" si="58"/>
        <v/>
      </c>
      <c r="V202" s="30" t="str">
        <f t="shared" si="59"/>
        <v/>
      </c>
      <c r="W202" s="30" t="str">
        <f t="shared" si="60"/>
        <v/>
      </c>
      <c r="X202" s="31" t="str">
        <f t="shared" si="61"/>
        <v/>
      </c>
      <c r="Y202" s="30" t="str">
        <f t="shared" si="46"/>
        <v/>
      </c>
    </row>
    <row r="203" spans="1:25" x14ac:dyDescent="0.2">
      <c r="A203" s="2">
        <v>190</v>
      </c>
      <c r="B203" s="34">
        <f t="shared" si="47"/>
        <v>0</v>
      </c>
      <c r="C203" s="30" t="str">
        <f>IF(B203=0,"",IF('Imperial Data'!AG192&gt;=1, INDEX(Imperial_Incremental[], MATCH('Imperial Data'!AG192, Imperial_Incremental[Height], 1), MATCH('Cumulative Volumes Imperial'!$F$4, Imperial_Incremental[#Headers], 0)), 0))</f>
        <v/>
      </c>
      <c r="D203" s="30" t="str">
        <f>IF(B203=0,"",IF('Imperial Data'!AG192&gt;=1, INDEX(Imperial_Incremental[], MATCH('Imperial Data'!AG192, Imperial_Incremental[Height], 1), MATCH('Cumulative Volumes Imperial'!$F$4 &amp; "EC", Imperial_Incremental[#Headers], 0)), 0))</f>
        <v/>
      </c>
      <c r="E203" s="30" t="str">
        <f t="shared" si="48"/>
        <v/>
      </c>
      <c r="F203" s="30" t="str">
        <f t="shared" si="49"/>
        <v/>
      </c>
      <c r="G203" s="30" t="str">
        <f>IF(B203=0,"",IF('Cumulative Volumes Imperial'!$AQ$17=FALSE,I203,H203))</f>
        <v/>
      </c>
      <c r="H203" s="30" t="str">
        <f t="shared" si="50"/>
        <v/>
      </c>
      <c r="I203" s="30" t="str">
        <f t="shared" si="51"/>
        <v/>
      </c>
      <c r="J203" s="30" t="str">
        <f>IF(B203="","",IF('Cumulative Volumes Imperial'!$AQ$17=FALSE,L203,K203))</f>
        <v/>
      </c>
      <c r="K203" s="30" t="str">
        <f t="shared" si="52"/>
        <v/>
      </c>
      <c r="L203" s="30" t="str">
        <f t="shared" si="53"/>
        <v/>
      </c>
      <c r="M203" s="30" t="str">
        <f>IF($E$8+45+$E$9&gt;989,"FALSE",IF(B203="","",IF('Cumulative Volumes Imperial'!$AQ$17=FALSE,O203,N203)))</f>
        <v/>
      </c>
      <c r="N203" s="30" t="str">
        <f t="shared" si="54"/>
        <v/>
      </c>
      <c r="O203" s="30" t="str">
        <f>IF(B203=0,"",IF('Cumulative Volumes Imperial'!$AQ$17=FALSE,(V203*$E$4)+(W203*$E$5),N203))</f>
        <v/>
      </c>
      <c r="P203" s="30" t="str">
        <f>IF(B203=0,"",(((1/12)*'Imperial Data'!$AC$4*'Imperial Data'!$AC$5)-C203)*$H$6)</f>
        <v/>
      </c>
      <c r="Q203" s="30" t="str">
        <f t="shared" si="55"/>
        <v/>
      </c>
      <c r="R203" s="30" t="str">
        <f>IF(B203=0,"",(((1/12)*'Imperial Data'!$AC$5*'Imperial Data'!$AC$7)-D203)*$H$6)</f>
        <v/>
      </c>
      <c r="S203" s="30" t="str">
        <f t="shared" si="56"/>
        <v/>
      </c>
      <c r="T203" s="30" t="str">
        <f t="shared" si="57"/>
        <v/>
      </c>
      <c r="U203" s="30" t="str">
        <f t="shared" si="58"/>
        <v/>
      </c>
      <c r="V203" s="30" t="str">
        <f t="shared" si="59"/>
        <v/>
      </c>
      <c r="W203" s="30" t="str">
        <f t="shared" si="60"/>
        <v/>
      </c>
      <c r="X203" s="31" t="str">
        <f t="shared" si="61"/>
        <v/>
      </c>
      <c r="Y203" s="30" t="str">
        <f t="shared" si="46"/>
        <v/>
      </c>
    </row>
    <row r="204" spans="1:25" x14ac:dyDescent="0.2">
      <c r="A204" s="2">
        <v>191</v>
      </c>
      <c r="B204" s="34">
        <f t="shared" si="47"/>
        <v>0</v>
      </c>
      <c r="C204" s="30" t="str">
        <f>IF(B204=0,"",IF('Imperial Data'!AG193&gt;=1, INDEX(Imperial_Incremental[], MATCH('Imperial Data'!AG193, Imperial_Incremental[Height], 1), MATCH('Cumulative Volumes Imperial'!$F$4, Imperial_Incremental[#Headers], 0)), 0))</f>
        <v/>
      </c>
      <c r="D204" s="30" t="str">
        <f>IF(B204=0,"",IF('Imperial Data'!AG193&gt;=1, INDEX(Imperial_Incremental[], MATCH('Imperial Data'!AG193, Imperial_Incremental[Height], 1), MATCH('Cumulative Volumes Imperial'!$F$4 &amp; "EC", Imperial_Incremental[#Headers], 0)), 0))</f>
        <v/>
      </c>
      <c r="E204" s="30" t="str">
        <f t="shared" si="48"/>
        <v/>
      </c>
      <c r="F204" s="30" t="str">
        <f t="shared" si="49"/>
        <v/>
      </c>
      <c r="G204" s="30" t="str">
        <f>IF(B204=0,"",IF('Cumulative Volumes Imperial'!$AQ$17=FALSE,I204,H204))</f>
        <v/>
      </c>
      <c r="H204" s="30" t="str">
        <f t="shared" si="50"/>
        <v/>
      </c>
      <c r="I204" s="30" t="str">
        <f t="shared" si="51"/>
        <v/>
      </c>
      <c r="J204" s="30" t="str">
        <f>IF(B204="","",IF('Cumulative Volumes Imperial'!$AQ$17=FALSE,L204,K204))</f>
        <v/>
      </c>
      <c r="K204" s="30" t="str">
        <f t="shared" si="52"/>
        <v/>
      </c>
      <c r="L204" s="30" t="str">
        <f t="shared" si="53"/>
        <v/>
      </c>
      <c r="M204" s="30" t="str">
        <f>IF($E$8+45+$E$9&gt;989,"FALSE",IF(B204="","",IF('Cumulative Volumes Imperial'!$AQ$17=FALSE,O204,N204)))</f>
        <v/>
      </c>
      <c r="N204" s="30" t="str">
        <f t="shared" si="54"/>
        <v/>
      </c>
      <c r="O204" s="30" t="str">
        <f>IF(B204=0,"",IF('Cumulative Volumes Imperial'!$AQ$17=FALSE,(V204*$E$4)+(W204*$E$5),N204))</f>
        <v/>
      </c>
      <c r="P204" s="30" t="str">
        <f>IF(B204=0,"",(((1/12)*'Imperial Data'!$AC$4*'Imperial Data'!$AC$5)-C204)*$H$6)</f>
        <v/>
      </c>
      <c r="Q204" s="30" t="str">
        <f t="shared" si="55"/>
        <v/>
      </c>
      <c r="R204" s="30" t="str">
        <f>IF(B204=0,"",(((1/12)*'Imperial Data'!$AC$5*'Imperial Data'!$AC$7)-D204)*$H$6)</f>
        <v/>
      </c>
      <c r="S204" s="30" t="str">
        <f t="shared" si="56"/>
        <v/>
      </c>
      <c r="T204" s="30" t="str">
        <f t="shared" si="57"/>
        <v/>
      </c>
      <c r="U204" s="30" t="str">
        <f t="shared" si="58"/>
        <v/>
      </c>
      <c r="V204" s="30" t="str">
        <f t="shared" si="59"/>
        <v/>
      </c>
      <c r="W204" s="30" t="str">
        <f t="shared" si="60"/>
        <v/>
      </c>
      <c r="X204" s="31" t="str">
        <f t="shared" si="61"/>
        <v/>
      </c>
      <c r="Y204" s="30" t="str">
        <f t="shared" si="46"/>
        <v/>
      </c>
    </row>
    <row r="205" spans="1:25" x14ac:dyDescent="0.2">
      <c r="A205" s="2">
        <v>192</v>
      </c>
      <c r="B205" s="34">
        <f t="shared" si="47"/>
        <v>0</v>
      </c>
      <c r="C205" s="30" t="str">
        <f>IF(B205=0,"",IF('Imperial Data'!AG194&gt;=1, INDEX(Imperial_Incremental[], MATCH('Imperial Data'!AG194, Imperial_Incremental[Height], 1), MATCH('Cumulative Volumes Imperial'!$F$4, Imperial_Incremental[#Headers], 0)), 0))</f>
        <v/>
      </c>
      <c r="D205" s="30" t="str">
        <f>IF(B205=0,"",IF('Imperial Data'!AG194&gt;=1, INDEX(Imperial_Incremental[], MATCH('Imperial Data'!AG194, Imperial_Incremental[Height], 1), MATCH('Cumulative Volumes Imperial'!$F$4 &amp; "EC", Imperial_Incremental[#Headers], 0)), 0))</f>
        <v/>
      </c>
      <c r="E205" s="30" t="str">
        <f t="shared" si="48"/>
        <v/>
      </c>
      <c r="F205" s="30" t="str">
        <f t="shared" si="49"/>
        <v/>
      </c>
      <c r="G205" s="30" t="str">
        <f>IF(B205=0,"",IF('Cumulative Volumes Imperial'!$AQ$17=FALSE,I205,H205))</f>
        <v/>
      </c>
      <c r="H205" s="30" t="str">
        <f t="shared" si="50"/>
        <v/>
      </c>
      <c r="I205" s="30" t="str">
        <f t="shared" si="51"/>
        <v/>
      </c>
      <c r="J205" s="30" t="str">
        <f>IF(B205="","",IF('Cumulative Volumes Imperial'!$AQ$17=FALSE,L205,K205))</f>
        <v/>
      </c>
      <c r="K205" s="30" t="str">
        <f t="shared" si="52"/>
        <v/>
      </c>
      <c r="L205" s="30" t="str">
        <f t="shared" si="53"/>
        <v/>
      </c>
      <c r="M205" s="30" t="str">
        <f>IF($E$8+45+$E$9&gt;989,"FALSE",IF(B205="","",IF('Cumulative Volumes Imperial'!$AQ$17=FALSE,O205,N205)))</f>
        <v/>
      </c>
      <c r="N205" s="30" t="str">
        <f t="shared" si="54"/>
        <v/>
      </c>
      <c r="O205" s="30" t="str">
        <f>IF(B205=0,"",IF('Cumulative Volumes Imperial'!$AQ$17=FALSE,(V205*$E$4)+(W205*$E$5),N205))</f>
        <v/>
      </c>
      <c r="P205" s="30" t="str">
        <f>IF(B205=0,"",(((1/12)*'Imperial Data'!$AC$4*'Imperial Data'!$AC$5)-C205)*$H$6)</f>
        <v/>
      </c>
      <c r="Q205" s="30" t="str">
        <f t="shared" si="55"/>
        <v/>
      </c>
      <c r="R205" s="30" t="str">
        <f>IF(B205=0,"",(((1/12)*'Imperial Data'!$AC$5*'Imperial Data'!$AC$7)-D205)*$H$6)</f>
        <v/>
      </c>
      <c r="S205" s="30" t="str">
        <f t="shared" si="56"/>
        <v/>
      </c>
      <c r="T205" s="30" t="str">
        <f t="shared" si="57"/>
        <v/>
      </c>
      <c r="U205" s="30" t="str">
        <f t="shared" si="58"/>
        <v/>
      </c>
      <c r="V205" s="30" t="str">
        <f t="shared" si="59"/>
        <v/>
      </c>
      <c r="W205" s="30" t="str">
        <f t="shared" si="60"/>
        <v/>
      </c>
      <c r="X205" s="31" t="str">
        <f t="shared" si="61"/>
        <v/>
      </c>
      <c r="Y205" s="30" t="str">
        <f t="shared" si="46"/>
        <v/>
      </c>
    </row>
    <row r="206" spans="1:25" x14ac:dyDescent="0.2">
      <c r="A206" s="2">
        <v>193</v>
      </c>
      <c r="B206" s="34">
        <f t="shared" si="47"/>
        <v>0</v>
      </c>
      <c r="C206" s="30" t="str">
        <f>IF(B206=0,"",IF('Imperial Data'!AG195&gt;=1, INDEX(Imperial_Incremental[], MATCH('Imperial Data'!AG195, Imperial_Incremental[Height], 1), MATCH('Cumulative Volumes Imperial'!$F$4, Imperial_Incremental[#Headers], 0)), 0))</f>
        <v/>
      </c>
      <c r="D206" s="30" t="str">
        <f>IF(B206=0,"",IF('Imperial Data'!AG195&gt;=1, INDEX(Imperial_Incremental[], MATCH('Imperial Data'!AG195, Imperial_Incremental[Height], 1), MATCH('Cumulative Volumes Imperial'!$F$4 &amp; "EC", Imperial_Incremental[#Headers], 0)), 0))</f>
        <v/>
      </c>
      <c r="E206" s="30" t="str">
        <f t="shared" si="48"/>
        <v/>
      </c>
      <c r="F206" s="30" t="str">
        <f t="shared" si="49"/>
        <v/>
      </c>
      <c r="G206" s="30" t="str">
        <f>IF(B206=0,"",IF('Cumulative Volumes Imperial'!$AQ$17=FALSE,I206,H206))</f>
        <v/>
      </c>
      <c r="H206" s="30" t="str">
        <f t="shared" si="50"/>
        <v/>
      </c>
      <c r="I206" s="30" t="str">
        <f t="shared" si="51"/>
        <v/>
      </c>
      <c r="J206" s="30" t="str">
        <f>IF(B206="","",IF('Cumulative Volumes Imperial'!$AQ$17=FALSE,L206,K206))</f>
        <v/>
      </c>
      <c r="K206" s="30" t="str">
        <f t="shared" si="52"/>
        <v/>
      </c>
      <c r="L206" s="30" t="str">
        <f t="shared" si="53"/>
        <v/>
      </c>
      <c r="M206" s="30" t="str">
        <f>IF($E$8+45+$E$9&gt;989,"FALSE",IF(B206="","",IF('Cumulative Volumes Imperial'!$AQ$17=FALSE,O206,N206)))</f>
        <v/>
      </c>
      <c r="N206" s="30" t="str">
        <f t="shared" si="54"/>
        <v/>
      </c>
      <c r="O206" s="30" t="str">
        <f>IF(B206=0,"",IF('Cumulative Volumes Imperial'!$AQ$17=FALSE,(V206*$E$4)+(W206*$E$5),N206))</f>
        <v/>
      </c>
      <c r="P206" s="30" t="str">
        <f>IF(B206=0,"",(((1/12)*'Imperial Data'!$AC$4*'Imperial Data'!$AC$5)-C206)*$H$6)</f>
        <v/>
      </c>
      <c r="Q206" s="30" t="str">
        <f t="shared" si="55"/>
        <v/>
      </c>
      <c r="R206" s="30" t="str">
        <f>IF(B206=0,"",(((1/12)*'Imperial Data'!$AC$5*'Imperial Data'!$AC$7)-D206)*$H$6)</f>
        <v/>
      </c>
      <c r="S206" s="30" t="str">
        <f t="shared" si="56"/>
        <v/>
      </c>
      <c r="T206" s="30" t="str">
        <f t="shared" si="57"/>
        <v/>
      </c>
      <c r="U206" s="30" t="str">
        <f t="shared" si="58"/>
        <v/>
      </c>
      <c r="V206" s="30" t="str">
        <f t="shared" si="59"/>
        <v/>
      </c>
      <c r="W206" s="30" t="str">
        <f t="shared" si="60"/>
        <v/>
      </c>
      <c r="X206" s="31" t="str">
        <f t="shared" si="61"/>
        <v/>
      </c>
      <c r="Y206" s="30" t="str">
        <f t="shared" si="46"/>
        <v/>
      </c>
    </row>
    <row r="207" spans="1:25" x14ac:dyDescent="0.2">
      <c r="A207" s="2">
        <v>194</v>
      </c>
      <c r="B207" s="34">
        <f t="shared" si="47"/>
        <v>0</v>
      </c>
      <c r="C207" s="30" t="str">
        <f>IF(B207=0,"",IF('Imperial Data'!AG196&gt;=1, INDEX(Imperial_Incremental[], MATCH('Imperial Data'!AG196, Imperial_Incremental[Height], 1), MATCH('Cumulative Volumes Imperial'!$F$4, Imperial_Incremental[#Headers], 0)), 0))</f>
        <v/>
      </c>
      <c r="D207" s="30" t="str">
        <f>IF(B207=0,"",IF('Imperial Data'!AG196&gt;=1, INDEX(Imperial_Incremental[], MATCH('Imperial Data'!AG196, Imperial_Incremental[Height], 1), MATCH('Cumulative Volumes Imperial'!$F$4 &amp; "EC", Imperial_Incremental[#Headers], 0)), 0))</f>
        <v/>
      </c>
      <c r="E207" s="30" t="str">
        <f t="shared" si="48"/>
        <v/>
      </c>
      <c r="F207" s="30" t="str">
        <f t="shared" si="49"/>
        <v/>
      </c>
      <c r="G207" s="30" t="str">
        <f>IF(B207=0,"",IF('Cumulative Volumes Imperial'!$AQ$17=FALSE,I207,H207))</f>
        <v/>
      </c>
      <c r="H207" s="30" t="str">
        <f t="shared" si="50"/>
        <v/>
      </c>
      <c r="I207" s="30" t="str">
        <f t="shared" si="51"/>
        <v/>
      </c>
      <c r="J207" s="30" t="str">
        <f>IF(B207="","",IF('Cumulative Volumes Imperial'!$AQ$17=FALSE,L207,K207))</f>
        <v/>
      </c>
      <c r="K207" s="30" t="str">
        <f t="shared" si="52"/>
        <v/>
      </c>
      <c r="L207" s="30" t="str">
        <f t="shared" si="53"/>
        <v/>
      </c>
      <c r="M207" s="30" t="str">
        <f>IF($E$8+45+$E$9&gt;989,"FALSE",IF(B207="","",IF('Cumulative Volumes Imperial'!$AQ$17=FALSE,O207,N207)))</f>
        <v/>
      </c>
      <c r="N207" s="30" t="str">
        <f t="shared" si="54"/>
        <v/>
      </c>
      <c r="O207" s="30" t="str">
        <f>IF(B207=0,"",IF('Cumulative Volumes Imperial'!$AQ$17=FALSE,(V207*$E$4)+(W207*$E$5),N207))</f>
        <v/>
      </c>
      <c r="P207" s="30" t="str">
        <f>IF(B207=0,"",(((1/12)*'Imperial Data'!$AC$4*'Imperial Data'!$AC$5)-C207)*$H$6)</f>
        <v/>
      </c>
      <c r="Q207" s="30" t="str">
        <f t="shared" si="55"/>
        <v/>
      </c>
      <c r="R207" s="30" t="str">
        <f>IF(B207=0,"",(((1/12)*'Imperial Data'!$AC$5*'Imperial Data'!$AC$7)-D207)*$H$6)</f>
        <v/>
      </c>
      <c r="S207" s="30" t="str">
        <f t="shared" si="56"/>
        <v/>
      </c>
      <c r="T207" s="30" t="str">
        <f t="shared" si="57"/>
        <v/>
      </c>
      <c r="U207" s="30" t="str">
        <f t="shared" si="58"/>
        <v/>
      </c>
      <c r="V207" s="30" t="str">
        <f t="shared" si="59"/>
        <v/>
      </c>
      <c r="W207" s="30" t="str">
        <f t="shared" si="60"/>
        <v/>
      </c>
      <c r="X207" s="31" t="str">
        <f t="shared" si="61"/>
        <v/>
      </c>
      <c r="Y207" s="30" t="str">
        <f t="shared" ref="Y207:Y270" si="62">IF(B207=0,"",$E$7+B207/12)</f>
        <v/>
      </c>
    </row>
    <row r="208" spans="1:25" x14ac:dyDescent="0.2">
      <c r="A208" s="2">
        <v>195</v>
      </c>
      <c r="B208" s="34">
        <f t="shared" si="47"/>
        <v>0</v>
      </c>
      <c r="C208" s="30" t="str">
        <f>IF(B208=0,"",IF('Imperial Data'!AG197&gt;=1, INDEX(Imperial_Incremental[], MATCH('Imperial Data'!AG197, Imperial_Incremental[Height], 1), MATCH('Cumulative Volumes Imperial'!$F$4, Imperial_Incremental[#Headers], 0)), 0))</f>
        <v/>
      </c>
      <c r="D208" s="30" t="str">
        <f>IF(B208=0,"",IF('Imperial Data'!AG197&gt;=1, INDEX(Imperial_Incremental[], MATCH('Imperial Data'!AG197, Imperial_Incremental[Height], 1), MATCH('Cumulative Volumes Imperial'!$F$4 &amp; "EC", Imperial_Incremental[#Headers], 0)), 0))</f>
        <v/>
      </c>
      <c r="E208" s="30" t="str">
        <f t="shared" si="48"/>
        <v/>
      </c>
      <c r="F208" s="30" t="str">
        <f t="shared" si="49"/>
        <v/>
      </c>
      <c r="G208" s="30" t="str">
        <f>IF(B208=0,"",IF('Cumulative Volumes Imperial'!$AQ$17=FALSE,I208,H208))</f>
        <v/>
      </c>
      <c r="H208" s="30" t="str">
        <f t="shared" si="50"/>
        <v/>
      </c>
      <c r="I208" s="30" t="str">
        <f t="shared" si="51"/>
        <v/>
      </c>
      <c r="J208" s="30" t="str">
        <f>IF(B208="","",IF('Cumulative Volumes Imperial'!$AQ$17=FALSE,L208,K208))</f>
        <v/>
      </c>
      <c r="K208" s="30" t="str">
        <f t="shared" si="52"/>
        <v/>
      </c>
      <c r="L208" s="30" t="str">
        <f t="shared" si="53"/>
        <v/>
      </c>
      <c r="M208" s="30" t="str">
        <f>IF($E$8+45+$E$9&gt;989,"FALSE",IF(B208="","",IF('Cumulative Volumes Imperial'!$AQ$17=FALSE,O208,N208)))</f>
        <v/>
      </c>
      <c r="N208" s="30" t="str">
        <f t="shared" si="54"/>
        <v/>
      </c>
      <c r="O208" s="30" t="str">
        <f>IF(B208=0,"",IF('Cumulative Volumes Imperial'!$AQ$17=FALSE,(V208*$E$4)+(W208*$E$5),N208))</f>
        <v/>
      </c>
      <c r="P208" s="30" t="str">
        <f>IF(B208=0,"",(((1/12)*'Imperial Data'!$AC$4*'Imperial Data'!$AC$5)-C208)*$H$6)</f>
        <v/>
      </c>
      <c r="Q208" s="30" t="str">
        <f t="shared" si="55"/>
        <v/>
      </c>
      <c r="R208" s="30" t="str">
        <f>IF(B208=0,"",(((1/12)*'Imperial Data'!$AC$5*'Imperial Data'!$AC$7)-D208)*$H$6)</f>
        <v/>
      </c>
      <c r="S208" s="30" t="str">
        <f t="shared" si="56"/>
        <v/>
      </c>
      <c r="T208" s="30" t="str">
        <f t="shared" si="57"/>
        <v/>
      </c>
      <c r="U208" s="30" t="str">
        <f t="shared" si="58"/>
        <v/>
      </c>
      <c r="V208" s="30" t="str">
        <f t="shared" si="59"/>
        <v/>
      </c>
      <c r="W208" s="30" t="str">
        <f t="shared" si="60"/>
        <v/>
      </c>
      <c r="X208" s="31" t="str">
        <f t="shared" si="61"/>
        <v/>
      </c>
      <c r="Y208" s="30" t="str">
        <f t="shared" si="62"/>
        <v/>
      </c>
    </row>
    <row r="209" spans="1:25" x14ac:dyDescent="0.2">
      <c r="A209" s="2">
        <v>196</v>
      </c>
      <c r="B209" s="34">
        <f t="shared" si="47"/>
        <v>0</v>
      </c>
      <c r="C209" s="30" t="str">
        <f>IF(B209=0,"",IF('Imperial Data'!AG198&gt;=1, INDEX(Imperial_Incremental[], MATCH('Imperial Data'!AG198, Imperial_Incremental[Height], 1), MATCH('Cumulative Volumes Imperial'!$F$4, Imperial_Incremental[#Headers], 0)), 0))</f>
        <v/>
      </c>
      <c r="D209" s="30" t="str">
        <f>IF(B209=0,"",IF('Imperial Data'!AG198&gt;=1, INDEX(Imperial_Incremental[], MATCH('Imperial Data'!AG198, Imperial_Incremental[Height], 1), MATCH('Cumulative Volumes Imperial'!$F$4 &amp; "EC", Imperial_Incremental[#Headers], 0)), 0))</f>
        <v/>
      </c>
      <c r="E209" s="30" t="str">
        <f t="shared" si="48"/>
        <v/>
      </c>
      <c r="F209" s="30" t="str">
        <f t="shared" si="49"/>
        <v/>
      </c>
      <c r="G209" s="30" t="str">
        <f>IF(B209=0,"",IF('Cumulative Volumes Imperial'!$AQ$17=FALSE,I209,H209))</f>
        <v/>
      </c>
      <c r="H209" s="30" t="str">
        <f t="shared" si="50"/>
        <v/>
      </c>
      <c r="I209" s="30" t="str">
        <f t="shared" si="51"/>
        <v/>
      </c>
      <c r="J209" s="30" t="str">
        <f>IF(B209="","",IF('Cumulative Volumes Imperial'!$AQ$17=FALSE,L209,K209))</f>
        <v/>
      </c>
      <c r="K209" s="30" t="str">
        <f t="shared" si="52"/>
        <v/>
      </c>
      <c r="L209" s="30" t="str">
        <f t="shared" si="53"/>
        <v/>
      </c>
      <c r="M209" s="30" t="str">
        <f>IF($E$8+45+$E$9&gt;989,"FALSE",IF(B209="","",IF('Cumulative Volumes Imperial'!$AQ$17=FALSE,O209,N209)))</f>
        <v/>
      </c>
      <c r="N209" s="30" t="str">
        <f t="shared" si="54"/>
        <v/>
      </c>
      <c r="O209" s="30" t="str">
        <f>IF(B209=0,"",IF('Cumulative Volumes Imperial'!$AQ$17=FALSE,(V209*$E$4)+(W209*$E$5),N209))</f>
        <v/>
      </c>
      <c r="P209" s="30" t="str">
        <f>IF(B209=0,"",(((1/12)*'Imperial Data'!$AC$4*'Imperial Data'!$AC$5)-C209)*$H$6)</f>
        <v/>
      </c>
      <c r="Q209" s="30" t="str">
        <f t="shared" si="55"/>
        <v/>
      </c>
      <c r="R209" s="30" t="str">
        <f>IF(B209=0,"",(((1/12)*'Imperial Data'!$AC$5*'Imperial Data'!$AC$7)-D209)*$H$6)</f>
        <v/>
      </c>
      <c r="S209" s="30" t="str">
        <f t="shared" si="56"/>
        <v/>
      </c>
      <c r="T209" s="30" t="str">
        <f t="shared" si="57"/>
        <v/>
      </c>
      <c r="U209" s="30" t="str">
        <f t="shared" si="58"/>
        <v/>
      </c>
      <c r="V209" s="30" t="str">
        <f t="shared" si="59"/>
        <v/>
      </c>
      <c r="W209" s="30" t="str">
        <f t="shared" si="60"/>
        <v/>
      </c>
      <c r="X209" s="31" t="str">
        <f t="shared" si="61"/>
        <v/>
      </c>
      <c r="Y209" s="30" t="str">
        <f t="shared" si="62"/>
        <v/>
      </c>
    </row>
    <row r="210" spans="1:25" x14ac:dyDescent="0.2">
      <c r="A210" s="2">
        <v>197</v>
      </c>
      <c r="B210" s="34">
        <f t="shared" si="47"/>
        <v>0</v>
      </c>
      <c r="C210" s="30" t="str">
        <f>IF(B210=0,"",IF('Imperial Data'!AG199&gt;=1, INDEX(Imperial_Incremental[], MATCH('Imperial Data'!AG199, Imperial_Incremental[Height], 1), MATCH('Cumulative Volumes Imperial'!$F$4, Imperial_Incremental[#Headers], 0)), 0))</f>
        <v/>
      </c>
      <c r="D210" s="30" t="str">
        <f>IF(B210=0,"",IF('Imperial Data'!AG199&gt;=1, INDEX(Imperial_Incremental[], MATCH('Imperial Data'!AG199, Imperial_Incremental[Height], 1), MATCH('Cumulative Volumes Imperial'!$F$4 &amp; "EC", Imperial_Incremental[#Headers], 0)), 0))</f>
        <v/>
      </c>
      <c r="E210" s="30" t="str">
        <f t="shared" si="48"/>
        <v/>
      </c>
      <c r="F210" s="30" t="str">
        <f t="shared" si="49"/>
        <v/>
      </c>
      <c r="G210" s="30" t="str">
        <f>IF(B210=0,"",IF('Cumulative Volumes Imperial'!$AQ$17=FALSE,I210,H210))</f>
        <v/>
      </c>
      <c r="H210" s="30" t="str">
        <f t="shared" si="50"/>
        <v/>
      </c>
      <c r="I210" s="30" t="str">
        <f t="shared" si="51"/>
        <v/>
      </c>
      <c r="J210" s="30" t="str">
        <f>IF(B210="","",IF('Cumulative Volumes Imperial'!$AQ$17=FALSE,L210,K210))</f>
        <v/>
      </c>
      <c r="K210" s="30" t="str">
        <f t="shared" si="52"/>
        <v/>
      </c>
      <c r="L210" s="30" t="str">
        <f t="shared" si="53"/>
        <v/>
      </c>
      <c r="M210" s="30" t="str">
        <f>IF($E$8+45+$E$9&gt;989,"FALSE",IF(B210="","",IF('Cumulative Volumes Imperial'!$AQ$17=FALSE,O210,N210)))</f>
        <v/>
      </c>
      <c r="N210" s="30" t="str">
        <f t="shared" si="54"/>
        <v/>
      </c>
      <c r="O210" s="30" t="str">
        <f>IF(B210=0,"",IF('Cumulative Volumes Imperial'!$AQ$17=FALSE,(V210*$E$4)+(W210*$E$5),N210))</f>
        <v/>
      </c>
      <c r="P210" s="30" t="str">
        <f>IF(B210=0,"",(((1/12)*'Imperial Data'!$AC$4*'Imperial Data'!$AC$5)-C210)*$H$6)</f>
        <v/>
      </c>
      <c r="Q210" s="30" t="str">
        <f t="shared" si="55"/>
        <v/>
      </c>
      <c r="R210" s="30" t="str">
        <f>IF(B210=0,"",(((1/12)*'Imperial Data'!$AC$5*'Imperial Data'!$AC$7)-D210)*$H$6)</f>
        <v/>
      </c>
      <c r="S210" s="30" t="str">
        <f t="shared" si="56"/>
        <v/>
      </c>
      <c r="T210" s="30" t="str">
        <f t="shared" si="57"/>
        <v/>
      </c>
      <c r="U210" s="30" t="str">
        <f t="shared" si="58"/>
        <v/>
      </c>
      <c r="V210" s="30" t="str">
        <f t="shared" si="59"/>
        <v/>
      </c>
      <c r="W210" s="30" t="str">
        <f t="shared" si="60"/>
        <v/>
      </c>
      <c r="X210" s="31" t="str">
        <f t="shared" si="61"/>
        <v/>
      </c>
      <c r="Y210" s="30" t="str">
        <f t="shared" si="62"/>
        <v/>
      </c>
    </row>
    <row r="211" spans="1:25" x14ac:dyDescent="0.2">
      <c r="A211" s="2">
        <v>198</v>
      </c>
      <c r="B211" s="34">
        <f t="shared" si="47"/>
        <v>0</v>
      </c>
      <c r="C211" s="30" t="str">
        <f>IF(B211=0,"",IF('Imperial Data'!AG200&gt;=1, INDEX(Imperial_Incremental[], MATCH('Imperial Data'!AG200, Imperial_Incremental[Height], 1), MATCH('Cumulative Volumes Imperial'!$F$4, Imperial_Incremental[#Headers], 0)), 0))</f>
        <v/>
      </c>
      <c r="D211" s="30" t="str">
        <f>IF(B211=0,"",IF('Imperial Data'!AG200&gt;=1, INDEX(Imperial_Incremental[], MATCH('Imperial Data'!AG200, Imperial_Incremental[Height], 1), MATCH('Cumulative Volumes Imperial'!$F$4 &amp; "EC", Imperial_Incremental[#Headers], 0)), 0))</f>
        <v/>
      </c>
      <c r="E211" s="30" t="str">
        <f t="shared" si="48"/>
        <v/>
      </c>
      <c r="F211" s="30" t="str">
        <f t="shared" si="49"/>
        <v/>
      </c>
      <c r="G211" s="30" t="str">
        <f>IF(B211=0,"",IF('Cumulative Volumes Imperial'!$AQ$17=FALSE,I211,H211))</f>
        <v/>
      </c>
      <c r="H211" s="30" t="str">
        <f t="shared" si="50"/>
        <v/>
      </c>
      <c r="I211" s="30" t="str">
        <f t="shared" si="51"/>
        <v/>
      </c>
      <c r="J211" s="30" t="str">
        <f>IF(B211="","",IF('Cumulative Volumes Imperial'!$AQ$17=FALSE,L211,K211))</f>
        <v/>
      </c>
      <c r="K211" s="30" t="str">
        <f t="shared" si="52"/>
        <v/>
      </c>
      <c r="L211" s="30" t="str">
        <f t="shared" si="53"/>
        <v/>
      </c>
      <c r="M211" s="30" t="str">
        <f>IF($E$8+45+$E$9&gt;989,"FALSE",IF(B211="","",IF('Cumulative Volumes Imperial'!$AQ$17=FALSE,O211,N211)))</f>
        <v/>
      </c>
      <c r="N211" s="30" t="str">
        <f t="shared" si="54"/>
        <v/>
      </c>
      <c r="O211" s="30" t="str">
        <f>IF(B211=0,"",IF('Cumulative Volumes Imperial'!$AQ$17=FALSE,(V211*$E$4)+(W211*$E$5),N211))</f>
        <v/>
      </c>
      <c r="P211" s="30" t="str">
        <f>IF(B211=0,"",(((1/12)*'Imperial Data'!$AC$4*'Imperial Data'!$AC$5)-C211)*$H$6)</f>
        <v/>
      </c>
      <c r="Q211" s="30" t="str">
        <f t="shared" si="55"/>
        <v/>
      </c>
      <c r="R211" s="30" t="str">
        <f>IF(B211=0,"",(((1/12)*'Imperial Data'!$AC$5*'Imperial Data'!$AC$7)-D211)*$H$6)</f>
        <v/>
      </c>
      <c r="S211" s="30" t="str">
        <f t="shared" si="56"/>
        <v/>
      </c>
      <c r="T211" s="30" t="str">
        <f t="shared" si="57"/>
        <v/>
      </c>
      <c r="U211" s="30" t="str">
        <f t="shared" si="58"/>
        <v/>
      </c>
      <c r="V211" s="30" t="str">
        <f t="shared" si="59"/>
        <v/>
      </c>
      <c r="W211" s="30" t="str">
        <f t="shared" si="60"/>
        <v/>
      </c>
      <c r="X211" s="31" t="str">
        <f t="shared" si="61"/>
        <v/>
      </c>
      <c r="Y211" s="30" t="str">
        <f t="shared" si="62"/>
        <v/>
      </c>
    </row>
    <row r="212" spans="1:25" x14ac:dyDescent="0.2">
      <c r="A212" s="2">
        <v>199</v>
      </c>
      <c r="B212" s="34">
        <f t="shared" si="47"/>
        <v>0</v>
      </c>
      <c r="C212" s="30" t="str">
        <f>IF(B212=0,"",IF('Imperial Data'!AG201&gt;=1, INDEX(Imperial_Incremental[], MATCH('Imperial Data'!AG201, Imperial_Incremental[Height], 1), MATCH('Cumulative Volumes Imperial'!$F$4, Imperial_Incremental[#Headers], 0)), 0))</f>
        <v/>
      </c>
      <c r="D212" s="30" t="str">
        <f>IF(B212=0,"",IF('Imperial Data'!AG201&gt;=1, INDEX(Imperial_Incremental[], MATCH('Imperial Data'!AG201, Imperial_Incremental[Height], 1), MATCH('Cumulative Volumes Imperial'!$F$4 &amp; "EC", Imperial_Incremental[#Headers], 0)), 0))</f>
        <v/>
      </c>
      <c r="E212" s="30" t="str">
        <f t="shared" si="48"/>
        <v/>
      </c>
      <c r="F212" s="30" t="str">
        <f t="shared" si="49"/>
        <v/>
      </c>
      <c r="G212" s="30" t="str">
        <f>IF(B212=0,"",IF('Cumulative Volumes Imperial'!$AQ$17=FALSE,I212,H212))</f>
        <v/>
      </c>
      <c r="H212" s="30" t="str">
        <f t="shared" si="50"/>
        <v/>
      </c>
      <c r="I212" s="30" t="str">
        <f t="shared" si="51"/>
        <v/>
      </c>
      <c r="J212" s="30" t="str">
        <f>IF(B212="","",IF('Cumulative Volumes Imperial'!$AQ$17=FALSE,L212,K212))</f>
        <v/>
      </c>
      <c r="K212" s="30" t="str">
        <f t="shared" si="52"/>
        <v/>
      </c>
      <c r="L212" s="30" t="str">
        <f t="shared" si="53"/>
        <v/>
      </c>
      <c r="M212" s="30" t="str">
        <f>IF($E$8+45+$E$9&gt;989,"FALSE",IF(B212="","",IF('Cumulative Volumes Imperial'!$AQ$17=FALSE,O212,N212)))</f>
        <v/>
      </c>
      <c r="N212" s="30" t="str">
        <f t="shared" si="54"/>
        <v/>
      </c>
      <c r="O212" s="30" t="str">
        <f>IF(B212=0,"",IF('Cumulative Volumes Imperial'!$AQ$17=FALSE,(V212*$E$4)+(W212*$E$5),N212))</f>
        <v/>
      </c>
      <c r="P212" s="30" t="str">
        <f>IF(B212=0,"",(((1/12)*'Imperial Data'!$AC$4*'Imperial Data'!$AC$5)-C212)*$H$6)</f>
        <v/>
      </c>
      <c r="Q212" s="30" t="str">
        <f t="shared" si="55"/>
        <v/>
      </c>
      <c r="R212" s="30" t="str">
        <f>IF(B212=0,"",(((1/12)*'Imperial Data'!$AC$5*'Imperial Data'!$AC$7)-D212)*$H$6)</f>
        <v/>
      </c>
      <c r="S212" s="30" t="str">
        <f t="shared" si="56"/>
        <v/>
      </c>
      <c r="T212" s="30" t="str">
        <f t="shared" si="57"/>
        <v/>
      </c>
      <c r="U212" s="30" t="str">
        <f t="shared" si="58"/>
        <v/>
      </c>
      <c r="V212" s="30" t="str">
        <f t="shared" si="59"/>
        <v/>
      </c>
      <c r="W212" s="30" t="str">
        <f t="shared" si="60"/>
        <v/>
      </c>
      <c r="X212" s="31" t="str">
        <f t="shared" si="61"/>
        <v/>
      </c>
      <c r="Y212" s="30" t="str">
        <f t="shared" si="62"/>
        <v/>
      </c>
    </row>
    <row r="213" spans="1:25" x14ac:dyDescent="0.2">
      <c r="A213" s="2">
        <v>200</v>
      </c>
      <c r="B213" s="34">
        <f t="shared" si="47"/>
        <v>0</v>
      </c>
      <c r="C213" s="30" t="str">
        <f>IF(B213=0,"",IF('Imperial Data'!AG202&gt;=1, INDEX(Imperial_Incremental[], MATCH('Imperial Data'!AG202, Imperial_Incremental[Height], 1), MATCH('Cumulative Volumes Imperial'!$F$4, Imperial_Incremental[#Headers], 0)), 0))</f>
        <v/>
      </c>
      <c r="D213" s="30" t="str">
        <f>IF(B213=0,"",IF('Imperial Data'!AG202&gt;=1, INDEX(Imperial_Incremental[], MATCH('Imperial Data'!AG202, Imperial_Incremental[Height], 1), MATCH('Cumulative Volumes Imperial'!$F$4 &amp; "EC", Imperial_Incremental[#Headers], 0)), 0))</f>
        <v/>
      </c>
      <c r="E213" s="30" t="str">
        <f t="shared" si="48"/>
        <v/>
      </c>
      <c r="F213" s="30" t="str">
        <f t="shared" si="49"/>
        <v/>
      </c>
      <c r="G213" s="30" t="str">
        <f>IF(B213=0,"",IF('Cumulative Volumes Imperial'!$AQ$17=FALSE,I213,H213))</f>
        <v/>
      </c>
      <c r="H213" s="30" t="str">
        <f t="shared" si="50"/>
        <v/>
      </c>
      <c r="I213" s="30" t="str">
        <f t="shared" si="51"/>
        <v/>
      </c>
      <c r="J213" s="30" t="str">
        <f>IF(B213="","",IF('Cumulative Volumes Imperial'!$AQ$17=FALSE,L213,K213))</f>
        <v/>
      </c>
      <c r="K213" s="30" t="str">
        <f t="shared" si="52"/>
        <v/>
      </c>
      <c r="L213" s="30" t="str">
        <f t="shared" si="53"/>
        <v/>
      </c>
      <c r="M213" s="30" t="str">
        <f>IF($E$8+45+$E$9&gt;989,"FALSE",IF(B213="","",IF('Cumulative Volumes Imperial'!$AQ$17=FALSE,O213,N213)))</f>
        <v/>
      </c>
      <c r="N213" s="30" t="str">
        <f t="shared" si="54"/>
        <v/>
      </c>
      <c r="O213" s="30" t="str">
        <f>IF(B213=0,"",IF('Cumulative Volumes Imperial'!$AQ$17=FALSE,(V213*$E$4)+(W213*$E$5),N213))</f>
        <v/>
      </c>
      <c r="P213" s="30" t="str">
        <f>IF(B213=0,"",(((1/12)*'Imperial Data'!$AC$4*'Imperial Data'!$AC$5)-C213)*$H$6)</f>
        <v/>
      </c>
      <c r="Q213" s="30" t="str">
        <f t="shared" si="55"/>
        <v/>
      </c>
      <c r="R213" s="30" t="str">
        <f>IF(B213=0,"",(((1/12)*'Imperial Data'!$AC$5*'Imperial Data'!$AC$7)-D213)*$H$6)</f>
        <v/>
      </c>
      <c r="S213" s="30" t="str">
        <f t="shared" si="56"/>
        <v/>
      </c>
      <c r="T213" s="30" t="str">
        <f t="shared" si="57"/>
        <v/>
      </c>
      <c r="U213" s="30" t="str">
        <f t="shared" si="58"/>
        <v/>
      </c>
      <c r="V213" s="30" t="str">
        <f t="shared" si="59"/>
        <v/>
      </c>
      <c r="W213" s="30" t="str">
        <f t="shared" si="60"/>
        <v/>
      </c>
      <c r="X213" s="31" t="str">
        <f t="shared" si="61"/>
        <v/>
      </c>
      <c r="Y213" s="30" t="str">
        <f t="shared" si="62"/>
        <v/>
      </c>
    </row>
    <row r="214" spans="1:25" x14ac:dyDescent="0.2">
      <c r="A214" s="2">
        <v>201</v>
      </c>
      <c r="B214" s="34">
        <f t="shared" si="47"/>
        <v>0</v>
      </c>
      <c r="C214" s="30" t="str">
        <f>IF(B214=0,"",IF('Imperial Data'!AG203&gt;=1, INDEX(Imperial_Incremental[], MATCH('Imperial Data'!AG203, Imperial_Incremental[Height], 1), MATCH('Cumulative Volumes Imperial'!$F$4, Imperial_Incremental[#Headers], 0)), 0))</f>
        <v/>
      </c>
      <c r="D214" s="30" t="str">
        <f>IF(B214=0,"",IF('Imperial Data'!AG203&gt;=1, INDEX(Imperial_Incremental[], MATCH('Imperial Data'!AG203, Imperial_Incremental[Height], 1), MATCH('Cumulative Volumes Imperial'!$F$4 &amp; "EC", Imperial_Incremental[#Headers], 0)), 0))</f>
        <v/>
      </c>
      <c r="E214" s="30" t="str">
        <f t="shared" si="48"/>
        <v/>
      </c>
      <c r="F214" s="30" t="str">
        <f t="shared" si="49"/>
        <v/>
      </c>
      <c r="G214" s="30" t="str">
        <f>IF(B214=0,"",IF('Cumulative Volumes Imperial'!$AQ$17=FALSE,I214,H214))</f>
        <v/>
      </c>
      <c r="H214" s="30" t="str">
        <f t="shared" si="50"/>
        <v/>
      </c>
      <c r="I214" s="30" t="str">
        <f t="shared" si="51"/>
        <v/>
      </c>
      <c r="J214" s="30" t="str">
        <f>IF(B214="","",IF('Cumulative Volumes Imperial'!$AQ$17=FALSE,L214,K214))</f>
        <v/>
      </c>
      <c r="K214" s="30" t="str">
        <f t="shared" si="52"/>
        <v/>
      </c>
      <c r="L214" s="30" t="str">
        <f t="shared" si="53"/>
        <v/>
      </c>
      <c r="M214" s="30" t="str">
        <f>IF($E$8+45+$E$9&gt;989,"FALSE",IF(B214="","",IF('Cumulative Volumes Imperial'!$AQ$17=FALSE,O214,N214)))</f>
        <v/>
      </c>
      <c r="N214" s="30" t="str">
        <f t="shared" si="54"/>
        <v/>
      </c>
      <c r="O214" s="30" t="str">
        <f>IF(B214=0,"",IF('Cumulative Volumes Imperial'!$AQ$17=FALSE,(V214*$E$4)+(W214*$E$5),N214))</f>
        <v/>
      </c>
      <c r="P214" s="30" t="str">
        <f>IF(B214=0,"",(((1/12)*'Imperial Data'!$AC$4*'Imperial Data'!$AC$5)-C214)*$H$6)</f>
        <v/>
      </c>
      <c r="Q214" s="30" t="str">
        <f t="shared" si="55"/>
        <v/>
      </c>
      <c r="R214" s="30" t="str">
        <f>IF(B214=0,"",(((1/12)*'Imperial Data'!$AC$5*'Imperial Data'!$AC$7)-D214)*$H$6)</f>
        <v/>
      </c>
      <c r="S214" s="30" t="str">
        <f t="shared" si="56"/>
        <v/>
      </c>
      <c r="T214" s="30" t="str">
        <f t="shared" si="57"/>
        <v/>
      </c>
      <c r="U214" s="30" t="str">
        <f t="shared" si="58"/>
        <v/>
      </c>
      <c r="V214" s="30" t="str">
        <f t="shared" si="59"/>
        <v/>
      </c>
      <c r="W214" s="30" t="str">
        <f t="shared" si="60"/>
        <v/>
      </c>
      <c r="X214" s="31" t="str">
        <f t="shared" si="61"/>
        <v/>
      </c>
      <c r="Y214" s="30" t="str">
        <f t="shared" si="62"/>
        <v/>
      </c>
    </row>
    <row r="215" spans="1:25" x14ac:dyDescent="0.2">
      <c r="A215" s="2">
        <v>202</v>
      </c>
      <c r="B215" s="34">
        <f t="shared" si="47"/>
        <v>0</v>
      </c>
      <c r="C215" s="30" t="str">
        <f>IF(B215=0,"",IF('Imperial Data'!AG204&gt;=1, INDEX(Imperial_Incremental[], MATCH('Imperial Data'!AG204, Imperial_Incremental[Height], 1), MATCH('Cumulative Volumes Imperial'!$F$4, Imperial_Incremental[#Headers], 0)), 0))</f>
        <v/>
      </c>
      <c r="D215" s="30" t="str">
        <f>IF(B215=0,"",IF('Imperial Data'!AG204&gt;=1, INDEX(Imperial_Incremental[], MATCH('Imperial Data'!AG204, Imperial_Incremental[Height], 1), MATCH('Cumulative Volumes Imperial'!$F$4 &amp; "EC", Imperial_Incremental[#Headers], 0)), 0))</f>
        <v/>
      </c>
      <c r="E215" s="30" t="str">
        <f t="shared" si="48"/>
        <v/>
      </c>
      <c r="F215" s="30" t="str">
        <f t="shared" si="49"/>
        <v/>
      </c>
      <c r="G215" s="30" t="str">
        <f>IF(B215=0,"",IF('Cumulative Volumes Imperial'!$AQ$17=FALSE,I215,H215))</f>
        <v/>
      </c>
      <c r="H215" s="30" t="str">
        <f t="shared" si="50"/>
        <v/>
      </c>
      <c r="I215" s="30" t="str">
        <f t="shared" si="51"/>
        <v/>
      </c>
      <c r="J215" s="30" t="str">
        <f>IF(B215="","",IF('Cumulative Volumes Imperial'!$AQ$17=FALSE,L215,K215))</f>
        <v/>
      </c>
      <c r="K215" s="30" t="str">
        <f t="shared" si="52"/>
        <v/>
      </c>
      <c r="L215" s="30" t="str">
        <f t="shared" si="53"/>
        <v/>
      </c>
      <c r="M215" s="30" t="str">
        <f>IF($E$8+45+$E$9&gt;989,"FALSE",IF(B215="","",IF('Cumulative Volumes Imperial'!$AQ$17=FALSE,O215,N215)))</f>
        <v/>
      </c>
      <c r="N215" s="30" t="str">
        <f t="shared" si="54"/>
        <v/>
      </c>
      <c r="O215" s="30" t="str">
        <f>IF(B215=0,"",IF('Cumulative Volumes Imperial'!$AQ$17=FALSE,(V215*$E$4)+(W215*$E$5),N215))</f>
        <v/>
      </c>
      <c r="P215" s="30" t="str">
        <f>IF(B215=0,"",(((1/12)*'Imperial Data'!$AC$4*'Imperial Data'!$AC$5)-C215)*$H$6)</f>
        <v/>
      </c>
      <c r="Q215" s="30" t="str">
        <f t="shared" si="55"/>
        <v/>
      </c>
      <c r="R215" s="30" t="str">
        <f>IF(B215=0,"",(((1/12)*'Imperial Data'!$AC$5*'Imperial Data'!$AC$7)-D215)*$H$6)</f>
        <v/>
      </c>
      <c r="S215" s="30" t="str">
        <f t="shared" si="56"/>
        <v/>
      </c>
      <c r="T215" s="30" t="str">
        <f t="shared" si="57"/>
        <v/>
      </c>
      <c r="U215" s="30" t="str">
        <f t="shared" si="58"/>
        <v/>
      </c>
      <c r="V215" s="30" t="str">
        <f t="shared" si="59"/>
        <v/>
      </c>
      <c r="W215" s="30" t="str">
        <f t="shared" si="60"/>
        <v/>
      </c>
      <c r="X215" s="31" t="str">
        <f t="shared" si="61"/>
        <v/>
      </c>
      <c r="Y215" s="30" t="str">
        <f t="shared" si="62"/>
        <v/>
      </c>
    </row>
    <row r="216" spans="1:25" x14ac:dyDescent="0.2">
      <c r="A216" s="2">
        <v>203</v>
      </c>
      <c r="B216" s="34">
        <f t="shared" si="47"/>
        <v>0</v>
      </c>
      <c r="C216" s="30" t="str">
        <f>IF(B216=0,"",IF('Imperial Data'!AG205&gt;=1, INDEX(Imperial_Incremental[], MATCH('Imperial Data'!AG205, Imperial_Incremental[Height], 1), MATCH('Cumulative Volumes Imperial'!$F$4, Imperial_Incremental[#Headers], 0)), 0))</f>
        <v/>
      </c>
      <c r="D216" s="30" t="str">
        <f>IF(B216=0,"",IF('Imperial Data'!AG205&gt;=1, INDEX(Imperial_Incremental[], MATCH('Imperial Data'!AG205, Imperial_Incremental[Height], 1), MATCH('Cumulative Volumes Imperial'!$F$4 &amp; "EC", Imperial_Incremental[#Headers], 0)), 0))</f>
        <v/>
      </c>
      <c r="E216" s="30" t="str">
        <f t="shared" si="48"/>
        <v/>
      </c>
      <c r="F216" s="30" t="str">
        <f t="shared" si="49"/>
        <v/>
      </c>
      <c r="G216" s="30" t="str">
        <f>IF(B216=0,"",IF('Cumulative Volumes Imperial'!$AQ$17=FALSE,I216,H216))</f>
        <v/>
      </c>
      <c r="H216" s="30" t="str">
        <f t="shared" si="50"/>
        <v/>
      </c>
      <c r="I216" s="30" t="str">
        <f t="shared" si="51"/>
        <v/>
      </c>
      <c r="J216" s="30" t="str">
        <f>IF(B216="","",IF('Cumulative Volumes Imperial'!$AQ$17=FALSE,L216,K216))</f>
        <v/>
      </c>
      <c r="K216" s="30" t="str">
        <f t="shared" si="52"/>
        <v/>
      </c>
      <c r="L216" s="30" t="str">
        <f t="shared" si="53"/>
        <v/>
      </c>
      <c r="M216" s="30" t="str">
        <f>IF($E$8+45+$E$9&gt;989,"FALSE",IF(B216="","",IF('Cumulative Volumes Imperial'!$AQ$17=FALSE,O216,N216)))</f>
        <v/>
      </c>
      <c r="N216" s="30" t="str">
        <f t="shared" si="54"/>
        <v/>
      </c>
      <c r="O216" s="30" t="str">
        <f>IF(B216=0,"",IF('Cumulative Volumes Imperial'!$AQ$17=FALSE,(V216*$E$4)+(W216*$E$5),N216))</f>
        <v/>
      </c>
      <c r="P216" s="30" t="str">
        <f>IF(B216=0,"",(((1/12)*'Imperial Data'!$AC$4*'Imperial Data'!$AC$5)-C216)*$H$6)</f>
        <v/>
      </c>
      <c r="Q216" s="30" t="str">
        <f t="shared" si="55"/>
        <v/>
      </c>
      <c r="R216" s="30" t="str">
        <f>IF(B216=0,"",(((1/12)*'Imperial Data'!$AC$5*'Imperial Data'!$AC$7)-D216)*$H$6)</f>
        <v/>
      </c>
      <c r="S216" s="30" t="str">
        <f t="shared" si="56"/>
        <v/>
      </c>
      <c r="T216" s="30" t="str">
        <f t="shared" si="57"/>
        <v/>
      </c>
      <c r="U216" s="30" t="str">
        <f t="shared" si="58"/>
        <v/>
      </c>
      <c r="V216" s="30" t="str">
        <f t="shared" si="59"/>
        <v/>
      </c>
      <c r="W216" s="30" t="str">
        <f t="shared" si="60"/>
        <v/>
      </c>
      <c r="X216" s="31" t="str">
        <f t="shared" si="61"/>
        <v/>
      </c>
      <c r="Y216" s="30" t="str">
        <f t="shared" si="62"/>
        <v/>
      </c>
    </row>
    <row r="217" spans="1:25" x14ac:dyDescent="0.2">
      <c r="A217" s="2">
        <v>204</v>
      </c>
      <c r="B217" s="34">
        <f t="shared" si="47"/>
        <v>0</v>
      </c>
      <c r="C217" s="30" t="str">
        <f>IF(B217=0,"",IF('Imperial Data'!AG206&gt;=1, INDEX(Imperial_Incremental[], MATCH('Imperial Data'!AG206, Imperial_Incremental[Height], 1), MATCH('Cumulative Volumes Imperial'!$F$4, Imperial_Incremental[#Headers], 0)), 0))</f>
        <v/>
      </c>
      <c r="D217" s="30" t="str">
        <f>IF(B217=0,"",IF('Imperial Data'!AG206&gt;=1, INDEX(Imperial_Incremental[], MATCH('Imperial Data'!AG206, Imperial_Incremental[Height], 1), MATCH('Cumulative Volumes Imperial'!$F$4 &amp; "EC", Imperial_Incremental[#Headers], 0)), 0))</f>
        <v/>
      </c>
      <c r="E217" s="30" t="str">
        <f t="shared" si="48"/>
        <v/>
      </c>
      <c r="F217" s="30" t="str">
        <f t="shared" si="49"/>
        <v/>
      </c>
      <c r="G217" s="30" t="str">
        <f>IF(B217=0,"",IF('Cumulative Volumes Imperial'!$AQ$17=FALSE,I217,H217))</f>
        <v/>
      </c>
      <c r="H217" s="30" t="str">
        <f t="shared" si="50"/>
        <v/>
      </c>
      <c r="I217" s="30" t="str">
        <f t="shared" si="51"/>
        <v/>
      </c>
      <c r="J217" s="30" t="str">
        <f>IF(B217="","",IF('Cumulative Volumes Imperial'!$AQ$17=FALSE,L217,K217))</f>
        <v/>
      </c>
      <c r="K217" s="30" t="str">
        <f t="shared" si="52"/>
        <v/>
      </c>
      <c r="L217" s="30" t="str">
        <f t="shared" si="53"/>
        <v/>
      </c>
      <c r="M217" s="30" t="str">
        <f>IF($E$8+45+$E$9&gt;989,"FALSE",IF(B217="","",IF('Cumulative Volumes Imperial'!$AQ$17=FALSE,O217,N217)))</f>
        <v/>
      </c>
      <c r="N217" s="30" t="str">
        <f t="shared" si="54"/>
        <v/>
      </c>
      <c r="O217" s="30" t="str">
        <f>IF(B217=0,"",IF('Cumulative Volumes Imperial'!$AQ$17=FALSE,(V217*$E$4)+(W217*$E$5),N217))</f>
        <v/>
      </c>
      <c r="P217" s="30" t="str">
        <f>IF(B217=0,"",(((1/12)*'Imperial Data'!$AC$4*'Imperial Data'!$AC$5)-C217)*$H$6)</f>
        <v/>
      </c>
      <c r="Q217" s="30" t="str">
        <f t="shared" si="55"/>
        <v/>
      </c>
      <c r="R217" s="30" t="str">
        <f>IF(B217=0,"",(((1/12)*'Imperial Data'!$AC$5*'Imperial Data'!$AC$7)-D217)*$H$6)</f>
        <v/>
      </c>
      <c r="S217" s="30" t="str">
        <f t="shared" si="56"/>
        <v/>
      </c>
      <c r="T217" s="30" t="str">
        <f t="shared" si="57"/>
        <v/>
      </c>
      <c r="U217" s="30" t="str">
        <f t="shared" si="58"/>
        <v/>
      </c>
      <c r="V217" s="30" t="str">
        <f t="shared" si="59"/>
        <v/>
      </c>
      <c r="W217" s="30" t="str">
        <f t="shared" si="60"/>
        <v/>
      </c>
      <c r="X217" s="31" t="str">
        <f t="shared" si="61"/>
        <v/>
      </c>
      <c r="Y217" s="30" t="str">
        <f t="shared" si="62"/>
        <v/>
      </c>
    </row>
    <row r="218" spans="1:25" x14ac:dyDescent="0.2">
      <c r="A218" s="2">
        <v>205</v>
      </c>
      <c r="B218" s="34">
        <f t="shared" si="47"/>
        <v>0</v>
      </c>
      <c r="C218" s="30" t="str">
        <f>IF(B218=0,"",IF('Imperial Data'!AG207&gt;=1, INDEX(Imperial_Incremental[], MATCH('Imperial Data'!AG207, Imperial_Incremental[Height], 1), MATCH('Cumulative Volumes Imperial'!$F$4, Imperial_Incremental[#Headers], 0)), 0))</f>
        <v/>
      </c>
      <c r="D218" s="30" t="str">
        <f>IF(B218=0,"",IF('Imperial Data'!AG207&gt;=1, INDEX(Imperial_Incremental[], MATCH('Imperial Data'!AG207, Imperial_Incremental[Height], 1), MATCH('Cumulative Volumes Imperial'!$F$4 &amp; "EC", Imperial_Incremental[#Headers], 0)), 0))</f>
        <v/>
      </c>
      <c r="E218" s="30" t="str">
        <f t="shared" si="48"/>
        <v/>
      </c>
      <c r="F218" s="30" t="str">
        <f t="shared" si="49"/>
        <v/>
      </c>
      <c r="G218" s="30" t="str">
        <f>IF(B218=0,"",IF('Cumulative Volumes Imperial'!$AQ$17=FALSE,I218,H218))</f>
        <v/>
      </c>
      <c r="H218" s="30" t="str">
        <f t="shared" si="50"/>
        <v/>
      </c>
      <c r="I218" s="30" t="str">
        <f t="shared" si="51"/>
        <v/>
      </c>
      <c r="J218" s="30" t="str">
        <f>IF(B218="","",IF('Cumulative Volumes Imperial'!$AQ$17=FALSE,L218,K218))</f>
        <v/>
      </c>
      <c r="K218" s="30" t="str">
        <f t="shared" si="52"/>
        <v/>
      </c>
      <c r="L218" s="30" t="str">
        <f t="shared" si="53"/>
        <v/>
      </c>
      <c r="M218" s="30" t="str">
        <f>IF($E$8+45+$E$9&gt;989,"FALSE",IF(B218="","",IF('Cumulative Volumes Imperial'!$AQ$17=FALSE,O218,N218)))</f>
        <v/>
      </c>
      <c r="N218" s="30" t="str">
        <f t="shared" si="54"/>
        <v/>
      </c>
      <c r="O218" s="30" t="str">
        <f>IF(B218=0,"",IF('Cumulative Volumes Imperial'!$AQ$17=FALSE,(V218*$E$4)+(W218*$E$5),N218))</f>
        <v/>
      </c>
      <c r="P218" s="30" t="str">
        <f>IF(B218=0,"",(((1/12)*'Imperial Data'!$AC$4*'Imperial Data'!$AC$5)-C218)*$H$6)</f>
        <v/>
      </c>
      <c r="Q218" s="30" t="str">
        <f t="shared" si="55"/>
        <v/>
      </c>
      <c r="R218" s="30" t="str">
        <f>IF(B218=0,"",(((1/12)*'Imperial Data'!$AC$5*'Imperial Data'!$AC$7)-D218)*$H$6)</f>
        <v/>
      </c>
      <c r="S218" s="30" t="str">
        <f t="shared" si="56"/>
        <v/>
      </c>
      <c r="T218" s="30" t="str">
        <f t="shared" si="57"/>
        <v/>
      </c>
      <c r="U218" s="30" t="str">
        <f t="shared" si="58"/>
        <v/>
      </c>
      <c r="V218" s="30" t="str">
        <f t="shared" si="59"/>
        <v/>
      </c>
      <c r="W218" s="30" t="str">
        <f t="shared" si="60"/>
        <v/>
      </c>
      <c r="X218" s="31" t="str">
        <f t="shared" si="61"/>
        <v/>
      </c>
      <c r="Y218" s="30" t="str">
        <f t="shared" si="62"/>
        <v/>
      </c>
    </row>
    <row r="219" spans="1:25" x14ac:dyDescent="0.2">
      <c r="A219" s="2">
        <v>206</v>
      </c>
      <c r="B219" s="34">
        <f t="shared" si="47"/>
        <v>0</v>
      </c>
      <c r="C219" s="30" t="str">
        <f>IF(B219=0,"",IF('Imperial Data'!AG208&gt;=1, INDEX(Imperial_Incremental[], MATCH('Imperial Data'!AG208, Imperial_Incremental[Height], 1), MATCH('Cumulative Volumes Imperial'!$F$4, Imperial_Incremental[#Headers], 0)), 0))</f>
        <v/>
      </c>
      <c r="D219" s="30" t="str">
        <f>IF(B219=0,"",IF('Imperial Data'!AG208&gt;=1, INDEX(Imperial_Incremental[], MATCH('Imperial Data'!AG208, Imperial_Incremental[Height], 1), MATCH('Cumulative Volumes Imperial'!$F$4 &amp; "EC", Imperial_Incremental[#Headers], 0)), 0))</f>
        <v/>
      </c>
      <c r="E219" s="30" t="str">
        <f t="shared" si="48"/>
        <v/>
      </c>
      <c r="F219" s="30" t="str">
        <f t="shared" si="49"/>
        <v/>
      </c>
      <c r="G219" s="30" t="str">
        <f>IF(B219=0,"",IF('Cumulative Volumes Imperial'!$AQ$17=FALSE,I219,H219))</f>
        <v/>
      </c>
      <c r="H219" s="30" t="str">
        <f t="shared" si="50"/>
        <v/>
      </c>
      <c r="I219" s="30" t="str">
        <f t="shared" si="51"/>
        <v/>
      </c>
      <c r="J219" s="30" t="str">
        <f>IF(B219="","",IF('Cumulative Volumes Imperial'!$AQ$17=FALSE,L219,K219))</f>
        <v/>
      </c>
      <c r="K219" s="30" t="str">
        <f t="shared" si="52"/>
        <v/>
      </c>
      <c r="L219" s="30" t="str">
        <f t="shared" si="53"/>
        <v/>
      </c>
      <c r="M219" s="30" t="str">
        <f>IF($E$8+45+$E$9&gt;989,"FALSE",IF(B219="","",IF('Cumulative Volumes Imperial'!$AQ$17=FALSE,O219,N219)))</f>
        <v/>
      </c>
      <c r="N219" s="30" t="str">
        <f t="shared" si="54"/>
        <v/>
      </c>
      <c r="O219" s="30" t="str">
        <f>IF(B219=0,"",IF('Cumulative Volumes Imperial'!$AQ$17=FALSE,(V219*$E$4)+(W219*$E$5),N219))</f>
        <v/>
      </c>
      <c r="P219" s="30" t="str">
        <f>IF(B219=0,"",(((1/12)*'Imperial Data'!$AC$4*'Imperial Data'!$AC$5)-C219)*$H$6)</f>
        <v/>
      </c>
      <c r="Q219" s="30" t="str">
        <f t="shared" si="55"/>
        <v/>
      </c>
      <c r="R219" s="30" t="str">
        <f>IF(B219=0,"",(((1/12)*'Imperial Data'!$AC$5*'Imperial Data'!$AC$7)-D219)*$H$6)</f>
        <v/>
      </c>
      <c r="S219" s="30" t="str">
        <f t="shared" si="56"/>
        <v/>
      </c>
      <c r="T219" s="30" t="str">
        <f t="shared" si="57"/>
        <v/>
      </c>
      <c r="U219" s="30" t="str">
        <f t="shared" si="58"/>
        <v/>
      </c>
      <c r="V219" s="30" t="str">
        <f t="shared" si="59"/>
        <v/>
      </c>
      <c r="W219" s="30" t="str">
        <f t="shared" si="60"/>
        <v/>
      </c>
      <c r="X219" s="31" t="str">
        <f t="shared" si="61"/>
        <v/>
      </c>
      <c r="Y219" s="30" t="str">
        <f t="shared" si="62"/>
        <v/>
      </c>
    </row>
    <row r="220" spans="1:25" x14ac:dyDescent="0.2">
      <c r="A220" s="2">
        <v>207</v>
      </c>
      <c r="B220" s="34">
        <f t="shared" si="47"/>
        <v>0</v>
      </c>
      <c r="C220" s="30" t="str">
        <f>IF(B220=0,"",IF('Imperial Data'!AG209&gt;=1, INDEX(Imperial_Incremental[], MATCH('Imperial Data'!AG209, Imperial_Incremental[Height], 1), MATCH('Cumulative Volumes Imperial'!$F$4, Imperial_Incremental[#Headers], 0)), 0))</f>
        <v/>
      </c>
      <c r="D220" s="30" t="str">
        <f>IF(B220=0,"",IF('Imperial Data'!AG209&gt;=1, INDEX(Imperial_Incremental[], MATCH('Imperial Data'!AG209, Imperial_Incremental[Height], 1), MATCH('Cumulative Volumes Imperial'!$F$4 &amp; "EC", Imperial_Incremental[#Headers], 0)), 0))</f>
        <v/>
      </c>
      <c r="E220" s="30" t="str">
        <f t="shared" si="48"/>
        <v/>
      </c>
      <c r="F220" s="30" t="str">
        <f t="shared" si="49"/>
        <v/>
      </c>
      <c r="G220" s="30" t="str">
        <f>IF(B220=0,"",IF('Cumulative Volumes Imperial'!$AQ$17=FALSE,I220,H220))</f>
        <v/>
      </c>
      <c r="H220" s="30" t="str">
        <f t="shared" si="50"/>
        <v/>
      </c>
      <c r="I220" s="30" t="str">
        <f t="shared" si="51"/>
        <v/>
      </c>
      <c r="J220" s="30" t="str">
        <f>IF(B220="","",IF('Cumulative Volumes Imperial'!$AQ$17=FALSE,L220,K220))</f>
        <v/>
      </c>
      <c r="K220" s="30" t="str">
        <f t="shared" si="52"/>
        <v/>
      </c>
      <c r="L220" s="30" t="str">
        <f t="shared" si="53"/>
        <v/>
      </c>
      <c r="M220" s="30" t="str">
        <f>IF($E$8+45+$E$9&gt;989,"FALSE",IF(B220="","",IF('Cumulative Volumes Imperial'!$AQ$17=FALSE,O220,N220)))</f>
        <v/>
      </c>
      <c r="N220" s="30" t="str">
        <f t="shared" si="54"/>
        <v/>
      </c>
      <c r="O220" s="30" t="str">
        <f>IF(B220=0,"",IF('Cumulative Volumes Imperial'!$AQ$17=FALSE,(V220*$E$4)+(W220*$E$5),N220))</f>
        <v/>
      </c>
      <c r="P220" s="30" t="str">
        <f>IF(B220=0,"",(((1/12)*'Imperial Data'!$AC$4*'Imperial Data'!$AC$5)-C220)*$H$6)</f>
        <v/>
      </c>
      <c r="Q220" s="30" t="str">
        <f t="shared" si="55"/>
        <v/>
      </c>
      <c r="R220" s="30" t="str">
        <f>IF(B220=0,"",(((1/12)*'Imperial Data'!$AC$5*'Imperial Data'!$AC$7)-D220)*$H$6)</f>
        <v/>
      </c>
      <c r="S220" s="30" t="str">
        <f t="shared" si="56"/>
        <v/>
      </c>
      <c r="T220" s="30" t="str">
        <f t="shared" si="57"/>
        <v/>
      </c>
      <c r="U220" s="30" t="str">
        <f t="shared" si="58"/>
        <v/>
      </c>
      <c r="V220" s="30" t="str">
        <f t="shared" si="59"/>
        <v/>
      </c>
      <c r="W220" s="30" t="str">
        <f t="shared" si="60"/>
        <v/>
      </c>
      <c r="X220" s="31" t="str">
        <f t="shared" si="61"/>
        <v/>
      </c>
      <c r="Y220" s="30" t="str">
        <f t="shared" si="62"/>
        <v/>
      </c>
    </row>
    <row r="221" spans="1:25" x14ac:dyDescent="0.2">
      <c r="A221" s="2">
        <v>208</v>
      </c>
      <c r="B221" s="34">
        <f t="shared" si="47"/>
        <v>0</v>
      </c>
      <c r="C221" s="30" t="str">
        <f>IF(B221=0,"",IF('Imperial Data'!AG210&gt;=1, INDEX(Imperial_Incremental[], MATCH('Imperial Data'!AG210, Imperial_Incremental[Height], 1), MATCH('Cumulative Volumes Imperial'!$F$4, Imperial_Incremental[#Headers], 0)), 0))</f>
        <v/>
      </c>
      <c r="D221" s="30" t="str">
        <f>IF(B221=0,"",IF('Imperial Data'!AG210&gt;=1, INDEX(Imperial_Incremental[], MATCH('Imperial Data'!AG210, Imperial_Incremental[Height], 1), MATCH('Cumulative Volumes Imperial'!$F$4 &amp; "EC", Imperial_Incremental[#Headers], 0)), 0))</f>
        <v/>
      </c>
      <c r="E221" s="30" t="str">
        <f t="shared" si="48"/>
        <v/>
      </c>
      <c r="F221" s="30" t="str">
        <f t="shared" si="49"/>
        <v/>
      </c>
      <c r="G221" s="30" t="str">
        <f>IF(B221=0,"",IF('Cumulative Volumes Imperial'!$AQ$17=FALSE,I221,H221))</f>
        <v/>
      </c>
      <c r="H221" s="30" t="str">
        <f t="shared" si="50"/>
        <v/>
      </c>
      <c r="I221" s="30" t="str">
        <f t="shared" si="51"/>
        <v/>
      </c>
      <c r="J221" s="30" t="str">
        <f>IF(B221="","",IF('Cumulative Volumes Imperial'!$AQ$17=FALSE,L221,K221))</f>
        <v/>
      </c>
      <c r="K221" s="30" t="str">
        <f t="shared" si="52"/>
        <v/>
      </c>
      <c r="L221" s="30" t="str">
        <f t="shared" si="53"/>
        <v/>
      </c>
      <c r="M221" s="30" t="str">
        <f>IF($E$8+45+$E$9&gt;989,"FALSE",IF(B221="","",IF('Cumulative Volumes Imperial'!$AQ$17=FALSE,O221,N221)))</f>
        <v/>
      </c>
      <c r="N221" s="30" t="str">
        <f t="shared" si="54"/>
        <v/>
      </c>
      <c r="O221" s="30" t="str">
        <f>IF(B221=0,"",IF('Cumulative Volumes Imperial'!$AQ$17=FALSE,(V221*$E$4)+(W221*$E$5),N221))</f>
        <v/>
      </c>
      <c r="P221" s="30" t="str">
        <f>IF(B221=0,"",(((1/12)*'Imperial Data'!$AC$4*'Imperial Data'!$AC$5)-C221)*$H$6)</f>
        <v/>
      </c>
      <c r="Q221" s="30" t="str">
        <f t="shared" si="55"/>
        <v/>
      </c>
      <c r="R221" s="30" t="str">
        <f>IF(B221=0,"",(((1/12)*'Imperial Data'!$AC$5*'Imperial Data'!$AC$7)-D221)*$H$6)</f>
        <v/>
      </c>
      <c r="S221" s="30" t="str">
        <f t="shared" si="56"/>
        <v/>
      </c>
      <c r="T221" s="30" t="str">
        <f t="shared" si="57"/>
        <v/>
      </c>
      <c r="U221" s="30" t="str">
        <f t="shared" si="58"/>
        <v/>
      </c>
      <c r="V221" s="30" t="str">
        <f t="shared" si="59"/>
        <v/>
      </c>
      <c r="W221" s="30" t="str">
        <f t="shared" si="60"/>
        <v/>
      </c>
      <c r="X221" s="31" t="str">
        <f t="shared" si="61"/>
        <v/>
      </c>
      <c r="Y221" s="30" t="str">
        <f t="shared" si="62"/>
        <v/>
      </c>
    </row>
    <row r="222" spans="1:25" x14ac:dyDescent="0.2">
      <c r="A222" s="2">
        <v>209</v>
      </c>
      <c r="B222" s="34">
        <f t="shared" si="47"/>
        <v>0</v>
      </c>
      <c r="C222" s="30" t="str">
        <f>IF(B222=0,"",IF('Imperial Data'!AG211&gt;=1, INDEX(Imperial_Incremental[], MATCH('Imperial Data'!AG211, Imperial_Incremental[Height], 1), MATCH('Cumulative Volumes Imperial'!$F$4, Imperial_Incremental[#Headers], 0)), 0))</f>
        <v/>
      </c>
      <c r="D222" s="30" t="str">
        <f>IF(B222=0,"",IF('Imperial Data'!AG211&gt;=1, INDEX(Imperial_Incremental[], MATCH('Imperial Data'!AG211, Imperial_Incremental[Height], 1), MATCH('Cumulative Volumes Imperial'!$F$4 &amp; "EC", Imperial_Incremental[#Headers], 0)), 0))</f>
        <v/>
      </c>
      <c r="E222" s="30" t="str">
        <f t="shared" si="48"/>
        <v/>
      </c>
      <c r="F222" s="30" t="str">
        <f t="shared" si="49"/>
        <v/>
      </c>
      <c r="G222" s="30" t="str">
        <f>IF(B222=0,"",IF('Cumulative Volumes Imperial'!$AQ$17=FALSE,I222,H222))</f>
        <v/>
      </c>
      <c r="H222" s="30" t="str">
        <f t="shared" si="50"/>
        <v/>
      </c>
      <c r="I222" s="30" t="str">
        <f t="shared" si="51"/>
        <v/>
      </c>
      <c r="J222" s="30" t="str">
        <f>IF(B222="","",IF('Cumulative Volumes Imperial'!$AQ$17=FALSE,L222,K222))</f>
        <v/>
      </c>
      <c r="K222" s="30" t="str">
        <f t="shared" si="52"/>
        <v/>
      </c>
      <c r="L222" s="30" t="str">
        <f t="shared" si="53"/>
        <v/>
      </c>
      <c r="M222" s="30" t="str">
        <f>IF($E$8+45+$E$9&gt;989,"FALSE",IF(B222="","",IF('Cumulative Volumes Imperial'!$AQ$17=FALSE,O222,N222)))</f>
        <v/>
      </c>
      <c r="N222" s="30" t="str">
        <f t="shared" si="54"/>
        <v/>
      </c>
      <c r="O222" s="30" t="str">
        <f>IF(B222=0,"",IF('Cumulative Volumes Imperial'!$AQ$17=FALSE,(V222*$E$4)+(W222*$E$5),N222))</f>
        <v/>
      </c>
      <c r="P222" s="30" t="str">
        <f>IF(B222=0,"",(((1/12)*'Imperial Data'!$AC$4*'Imperial Data'!$AC$5)-C222)*$H$6)</f>
        <v/>
      </c>
      <c r="Q222" s="30" t="str">
        <f t="shared" si="55"/>
        <v/>
      </c>
      <c r="R222" s="30" t="str">
        <f>IF(B222=0,"",(((1/12)*'Imperial Data'!$AC$5*'Imperial Data'!$AC$7)-D222)*$H$6)</f>
        <v/>
      </c>
      <c r="S222" s="30" t="str">
        <f t="shared" si="56"/>
        <v/>
      </c>
      <c r="T222" s="30" t="str">
        <f t="shared" si="57"/>
        <v/>
      </c>
      <c r="U222" s="30" t="str">
        <f t="shared" si="58"/>
        <v/>
      </c>
      <c r="V222" s="30" t="str">
        <f t="shared" si="59"/>
        <v/>
      </c>
      <c r="W222" s="30" t="str">
        <f t="shared" si="60"/>
        <v/>
      </c>
      <c r="X222" s="31" t="str">
        <f t="shared" si="61"/>
        <v/>
      </c>
      <c r="Y222" s="30" t="str">
        <f t="shared" si="62"/>
        <v/>
      </c>
    </row>
    <row r="223" spans="1:25" s="160" customFormat="1" x14ac:dyDescent="0.2">
      <c r="A223" s="172">
        <v>210</v>
      </c>
      <c r="B223" s="159">
        <f t="shared" si="47"/>
        <v>0</v>
      </c>
      <c r="C223" s="157" t="str">
        <f>IF(B223=0,"",IF('Imperial Data'!AG212&gt;=1, INDEX(Imperial_Incremental[], MATCH('Imperial Data'!AG212, Imperial_Incremental[Height], 1), MATCH('Cumulative Volumes Imperial'!$F$4, Imperial_Incremental[#Headers], 0)), 0))</f>
        <v/>
      </c>
      <c r="D223" s="157" t="str">
        <f>IF(B223=0,"",IF('Imperial Data'!AG212&gt;=1, INDEX(Imperial_Incremental[], MATCH('Imperial Data'!AG212, Imperial_Incremental[Height], 1), MATCH('Cumulative Volumes Imperial'!$F$4 &amp; "EC", Imperial_Incremental[#Headers], 0)), 0))</f>
        <v/>
      </c>
      <c r="E223" s="157" t="str">
        <f t="shared" si="48"/>
        <v/>
      </c>
      <c r="F223" s="157" t="str">
        <f t="shared" si="49"/>
        <v/>
      </c>
      <c r="G223" s="157" t="str">
        <f>IF(B223=0,"",IF('Cumulative Volumes Imperial'!$AQ$17=FALSE,I223,H223))</f>
        <v/>
      </c>
      <c r="H223" s="157" t="str">
        <f t="shared" si="50"/>
        <v/>
      </c>
      <c r="I223" s="157" t="str">
        <f t="shared" si="51"/>
        <v/>
      </c>
      <c r="J223" s="157" t="str">
        <f>IF(B223="","",IF('Cumulative Volumes Imperial'!$AQ$17=FALSE,L223,K223))</f>
        <v/>
      </c>
      <c r="K223" s="157" t="str">
        <f t="shared" si="52"/>
        <v/>
      </c>
      <c r="L223" s="157" t="str">
        <f t="shared" si="53"/>
        <v/>
      </c>
      <c r="M223" s="157" t="str">
        <f>IF($E$8+45+$E$9&gt;989,"FALSE",IF(B223="","",IF('Cumulative Volumes Imperial'!$AQ$17=FALSE,O223,N223)))</f>
        <v/>
      </c>
      <c r="N223" s="157" t="str">
        <f t="shared" si="54"/>
        <v/>
      </c>
      <c r="O223" s="157" t="str">
        <f>IF(B223=0,"",IF('Cumulative Volumes Imperial'!$AQ$17=FALSE,(V223*$E$4)+(W223*$E$5),N223))</f>
        <v/>
      </c>
      <c r="P223" s="157" t="str">
        <f>IF(B223=0,"",(((1/12)*'Imperial Data'!$AC$4*'Imperial Data'!$AC$5)-C223)*$H$6)</f>
        <v/>
      </c>
      <c r="Q223" s="157" t="str">
        <f t="shared" si="55"/>
        <v/>
      </c>
      <c r="R223" s="157" t="str">
        <f>IF(B223=0,"",(((1/12)*'Imperial Data'!$AC$5*'Imperial Data'!$AC$7)-D223)*$H$6)</f>
        <v/>
      </c>
      <c r="S223" s="157" t="str">
        <f t="shared" si="56"/>
        <v/>
      </c>
      <c r="T223" s="157" t="str">
        <f t="shared" si="57"/>
        <v/>
      </c>
      <c r="U223" s="157" t="str">
        <f t="shared" si="58"/>
        <v/>
      </c>
      <c r="V223" s="157" t="str">
        <f t="shared" si="59"/>
        <v/>
      </c>
      <c r="W223" s="157" t="str">
        <f t="shared" si="60"/>
        <v/>
      </c>
      <c r="X223" s="171" t="str">
        <f t="shared" si="61"/>
        <v/>
      </c>
      <c r="Y223" s="157" t="str">
        <f t="shared" si="62"/>
        <v/>
      </c>
    </row>
    <row r="224" spans="1:25" x14ac:dyDescent="0.2">
      <c r="B224" s="34"/>
      <c r="C224" s="30" t="str">
        <f>IF(B224=0,"",IF('Imperial Data'!AG213&gt;=1, INDEX(Imperial_Incremental[], MATCH('Imperial Data'!AG213, Imperial_Incremental[Height], 1), MATCH('Cumulative Volumes Imperial'!$F$4, Imperial_Incremental[#Headers], 0)), 0))</f>
        <v/>
      </c>
      <c r="D224" s="30" t="str">
        <f>IF(B224=0,"",IF('Imperial Data'!AG213&gt;=1, INDEX(Imperial_Incremental[], MATCH('Imperial Data'!AG213, Imperial_Incremental[Height], 1), MATCH('Cumulative Volumes Imperial'!$F$4 &amp; "EC", Imperial_Incremental[#Headers], 0)), 0))</f>
        <v/>
      </c>
      <c r="E224" s="30"/>
      <c r="F224" s="30"/>
      <c r="G224" s="30" t="str">
        <f>IF(B224=0,"",IF('Cumulative Volumes Imperial'!$AQ$17=FALSE,I224,H224))</f>
        <v/>
      </c>
      <c r="H224" s="30"/>
      <c r="I224" s="30"/>
      <c r="J224" s="30" t="str">
        <f>IF(B224="","",IF('Cumulative Volumes Imperial'!$AQ$17=FALSE,L224,K224))</f>
        <v/>
      </c>
      <c r="K224" s="30"/>
      <c r="L224" s="30"/>
      <c r="M224" s="30" t="str">
        <f>IF($E$8+45+$E$9&gt;989,"FALSE",IF(B224="","",IF('Cumulative Volumes Imperial'!$AQ$17=FALSE,O224,N224)))</f>
        <v/>
      </c>
      <c r="N224" s="30"/>
      <c r="O224" s="30" t="str">
        <f>IF(B224=0,"",IF('Cumulative Volumes Imperial'!$AQ$17=FALSE,(V224*$E$4)+(W224*$E$5),N224))</f>
        <v/>
      </c>
      <c r="P224" s="30" t="str">
        <f>IF(B224=0,"",(((1/12)*'Imperial Data'!$AC$4*'Imperial Data'!$AC$5)-C224)*$H$6)</f>
        <v/>
      </c>
      <c r="Q224" s="30"/>
      <c r="R224" s="30" t="str">
        <f>IF(B224=0,"",(((1/12)*'Imperial Data'!$AC$5*'Imperial Data'!$AC$7)-D224)*$H$6)</f>
        <v/>
      </c>
      <c r="S224" s="30"/>
      <c r="T224" s="30"/>
      <c r="U224" s="30"/>
      <c r="V224" s="30"/>
      <c r="W224" s="30" t="str">
        <f t="shared" ref="W224:W270" si="63">IF(B224=0,"",IF(B224=1,D224+R224,W225+D224+R224))</f>
        <v/>
      </c>
      <c r="X224" s="31"/>
      <c r="Y224" s="30" t="str">
        <f t="shared" si="62"/>
        <v/>
      </c>
    </row>
    <row r="225" spans="2:25" x14ac:dyDescent="0.2">
      <c r="B225" s="34"/>
      <c r="C225" s="30" t="str">
        <f>IF(B225=0,"",IF('Imperial Data'!AG214&gt;=1, INDEX(Imperial_Incremental[], MATCH('Imperial Data'!AG214, Imperial_Incremental[Height], 1), MATCH('Cumulative Volumes Imperial'!$F$4, Imperial_Incremental[#Headers], 0)), 0))</f>
        <v/>
      </c>
      <c r="D225" s="30" t="str">
        <f>IF(B225=0,"",IF('Imperial Data'!AG214&gt;=1, INDEX(Imperial_Incremental[], MATCH('Imperial Data'!AG214, Imperial_Incremental[Height], 1), MATCH('Cumulative Volumes Imperial'!$F$4 &amp; "EC", Imperial_Incremental[#Headers], 0)), 0))</f>
        <v/>
      </c>
      <c r="E225" s="30"/>
      <c r="F225" s="30"/>
      <c r="G225" s="30" t="str">
        <f>IF(B225=0,"",IF('Cumulative Volumes Imperial'!$AQ$17=FALSE,I225,H225))</f>
        <v/>
      </c>
      <c r="H225" s="30"/>
      <c r="I225" s="30"/>
      <c r="J225" s="30" t="str">
        <f>IF(B225="","",IF('Cumulative Volumes Imperial'!$AQ$17=FALSE,L225,K225))</f>
        <v/>
      </c>
      <c r="K225" s="30"/>
      <c r="L225" s="30"/>
      <c r="M225" s="30" t="str">
        <f>IF($E$8+45+$E$9&gt;989,"FALSE",IF(B225="","",IF('Cumulative Volumes Imperial'!$AQ$17=FALSE,O225,N225)))</f>
        <v/>
      </c>
      <c r="N225" s="30"/>
      <c r="O225" s="30" t="str">
        <f>IF(B225=0,"",IF('Cumulative Volumes Imperial'!$AQ$17=FALSE,(V225*$E$4)+(W225*$E$5),N225))</f>
        <v/>
      </c>
      <c r="P225" s="30" t="str">
        <f>IF(B225=0,"",(((1/12)*'Imperial Data'!$AC$4*'Imperial Data'!$AC$5)-C225)*$H$6)</f>
        <v/>
      </c>
      <c r="Q225" s="30"/>
      <c r="R225" s="30" t="str">
        <f>IF(B225=0,"",(((1/12)*'Imperial Data'!$AC$5*'Imperial Data'!$AC$7)-D225)*$H$6)</f>
        <v/>
      </c>
      <c r="S225" s="30"/>
      <c r="T225" s="30"/>
      <c r="U225" s="30"/>
      <c r="V225" s="30"/>
      <c r="W225" s="30" t="str">
        <f t="shared" si="63"/>
        <v/>
      </c>
      <c r="X225" s="31"/>
      <c r="Y225" s="30" t="str">
        <f t="shared" si="62"/>
        <v/>
      </c>
    </row>
    <row r="226" spans="2:25" x14ac:dyDescent="0.2">
      <c r="B226" s="34"/>
      <c r="C226" s="30" t="str">
        <f>IF(B226=0,"",IF('Imperial Data'!AG215&gt;=1, INDEX(Imperial_Incremental[], MATCH('Imperial Data'!AG215, Imperial_Incremental[Height], 1), MATCH('Cumulative Volumes Imperial'!$F$4, Imperial_Incremental[#Headers], 0)), 0))</f>
        <v/>
      </c>
      <c r="D226" s="30" t="str">
        <f>IF(B226=0,"",IF('Imperial Data'!AG215&gt;=1, INDEX(Imperial_Incremental[], MATCH('Imperial Data'!AG215, Imperial_Incremental[Height], 1), MATCH('Cumulative Volumes Imperial'!$F$4 &amp; "EC", Imperial_Incremental[#Headers], 0)), 0))</f>
        <v/>
      </c>
      <c r="E226" s="30"/>
      <c r="F226" s="30"/>
      <c r="G226" s="30" t="str">
        <f>IF(B226=0,"",IF('Cumulative Volumes Imperial'!$AQ$17=FALSE,I226,H226))</f>
        <v/>
      </c>
      <c r="H226" s="30"/>
      <c r="I226" s="30"/>
      <c r="J226" s="30" t="str">
        <f>IF(B226="","",IF('Cumulative Volumes Imperial'!$AQ$17=FALSE,L226,K226))</f>
        <v/>
      </c>
      <c r="K226" s="30"/>
      <c r="L226" s="30"/>
      <c r="M226" s="30" t="str">
        <f>IF($E$8+45+$E$9&gt;989,"FALSE",IF(B226="","",IF('Cumulative Volumes Imperial'!$AQ$17=FALSE,O226,N226)))</f>
        <v/>
      </c>
      <c r="N226" s="30"/>
      <c r="O226" s="30" t="str">
        <f>IF(B226=0,"",IF('Cumulative Volumes Imperial'!$AQ$17=FALSE,(V226*$E$4)+(W226*$E$5),N226))</f>
        <v/>
      </c>
      <c r="P226" s="30" t="str">
        <f>IF(B226=0,"",(((1/12)*'Imperial Data'!$AC$4*'Imperial Data'!$AC$5)-C226)*$H$6)</f>
        <v/>
      </c>
      <c r="Q226" s="30"/>
      <c r="R226" s="30" t="str">
        <f>IF(B226=0,"",(((1/12)*'Imperial Data'!$AC$5*'Imperial Data'!$AC$7)-D226)*$H$6)</f>
        <v/>
      </c>
      <c r="S226" s="30"/>
      <c r="T226" s="30"/>
      <c r="U226" s="30"/>
      <c r="V226" s="30"/>
      <c r="W226" s="30" t="str">
        <f t="shared" si="63"/>
        <v/>
      </c>
      <c r="X226" s="31"/>
      <c r="Y226" s="30" t="str">
        <f t="shared" si="62"/>
        <v/>
      </c>
    </row>
    <row r="227" spans="2:25" x14ac:dyDescent="0.2">
      <c r="B227" s="34"/>
      <c r="C227" s="30" t="str">
        <f>IF(B227=0,"",IF('Imperial Data'!AG216&gt;=1, INDEX(Imperial_Incremental[], MATCH('Imperial Data'!AG216, Imperial_Incremental[Height], 1), MATCH('Cumulative Volumes Imperial'!$F$4, Imperial_Incremental[#Headers], 0)), 0))</f>
        <v/>
      </c>
      <c r="D227" s="30" t="str">
        <f>IF(B227=0,"",IF('Imperial Data'!AG216&gt;=1, INDEX(Imperial_Incremental[], MATCH('Imperial Data'!AG216, Imperial_Incremental[Height], 1), MATCH('Cumulative Volumes Imperial'!$F$4 &amp; "EC", Imperial_Incremental[#Headers], 0)), 0))</f>
        <v/>
      </c>
      <c r="E227" s="30"/>
      <c r="F227" s="30"/>
      <c r="G227" s="30" t="str">
        <f>IF(B227=0,"",IF('Cumulative Volumes Imperial'!$AQ$17=FALSE,I227,H227))</f>
        <v/>
      </c>
      <c r="H227" s="30"/>
      <c r="I227" s="30"/>
      <c r="J227" s="30" t="str">
        <f>IF(B227="","",IF('Cumulative Volumes Imperial'!$AQ$17=FALSE,L227,K227))</f>
        <v/>
      </c>
      <c r="K227" s="30"/>
      <c r="L227" s="30"/>
      <c r="M227" s="30" t="str">
        <f>IF($E$8+45+$E$9&gt;989,"FALSE",IF(B227="","",IF('Cumulative Volumes Imperial'!$AQ$17=FALSE,O227,N227)))</f>
        <v/>
      </c>
      <c r="N227" s="30"/>
      <c r="O227" s="30" t="str">
        <f>IF(B227=0,"",IF('Cumulative Volumes Imperial'!$AQ$17=FALSE,(V227*$E$4)+(W227*$E$5),N227))</f>
        <v/>
      </c>
      <c r="P227" s="30" t="str">
        <f>IF(B227=0,"",(((1/12)*'Imperial Data'!$AC$4*'Imperial Data'!$AC$5)-C227)*$H$6)</f>
        <v/>
      </c>
      <c r="Q227" s="30"/>
      <c r="R227" s="30" t="str">
        <f>IF(B227=0,"",(((1/12)*'Imperial Data'!$AC$5*'Imperial Data'!$AC$7)-D227)*$H$6)</f>
        <v/>
      </c>
      <c r="S227" s="30"/>
      <c r="T227" s="30"/>
      <c r="U227" s="30"/>
      <c r="V227" s="30"/>
      <c r="W227" s="30" t="str">
        <f t="shared" si="63"/>
        <v/>
      </c>
      <c r="X227" s="31"/>
      <c r="Y227" s="30" t="str">
        <f t="shared" si="62"/>
        <v/>
      </c>
    </row>
    <row r="228" spans="2:25" x14ac:dyDescent="0.2">
      <c r="B228" s="34"/>
      <c r="C228" s="30" t="str">
        <f>IF(B228=0,"",IF('Imperial Data'!AG217&gt;=1, INDEX(Imperial_Incremental[], MATCH('Imperial Data'!AG217, Imperial_Incremental[Height], 1), MATCH('Cumulative Volumes Imperial'!$F$4, Imperial_Incremental[#Headers], 0)), 0))</f>
        <v/>
      </c>
      <c r="D228" s="30" t="str">
        <f>IF(B228=0,"",IF('Imperial Data'!AG217&gt;=1, INDEX(Imperial_Incremental[], MATCH('Imperial Data'!AG217, Imperial_Incremental[Height], 1), MATCH('Cumulative Volumes Imperial'!$F$4 &amp; "EC", Imperial_Incremental[#Headers], 0)), 0))</f>
        <v/>
      </c>
      <c r="E228" s="30"/>
      <c r="F228" s="30"/>
      <c r="G228" s="30" t="str">
        <f>IF(B228=0,"",IF('Cumulative Volumes Imperial'!$AQ$17=FALSE,I228,H228))</f>
        <v/>
      </c>
      <c r="H228" s="30"/>
      <c r="I228" s="30"/>
      <c r="J228" s="30" t="str">
        <f>IF(B228="","",IF('Cumulative Volumes Imperial'!$AQ$17=FALSE,L228,K228))</f>
        <v/>
      </c>
      <c r="K228" s="30"/>
      <c r="L228" s="30"/>
      <c r="M228" s="30" t="str">
        <f>IF($E$8+45+$E$9&gt;989,"FALSE",IF(B228="","",IF('Cumulative Volumes Imperial'!$AQ$17=FALSE,O228,N228)))</f>
        <v/>
      </c>
      <c r="N228" s="30"/>
      <c r="O228" s="30" t="str">
        <f>IF(B228=0,"",IF('Cumulative Volumes Imperial'!$AQ$17=FALSE,(V228*$E$4)+(W228*$E$5),N228))</f>
        <v/>
      </c>
      <c r="P228" s="30" t="str">
        <f>IF(B228=0,"",(((1/12)*'Imperial Data'!$AC$4*'Imperial Data'!$AC$5)-C228)*$H$6)</f>
        <v/>
      </c>
      <c r="Q228" s="30"/>
      <c r="R228" s="30" t="str">
        <f>IF(B228=0,"",(((1/12)*'Imperial Data'!$AC$5*'Imperial Data'!$AC$7)-D228)*$H$6)</f>
        <v/>
      </c>
      <c r="S228" s="30"/>
      <c r="T228" s="30"/>
      <c r="U228" s="30"/>
      <c r="V228" s="30"/>
      <c r="W228" s="30" t="str">
        <f t="shared" si="63"/>
        <v/>
      </c>
      <c r="X228" s="31"/>
      <c r="Y228" s="30" t="str">
        <f t="shared" si="62"/>
        <v/>
      </c>
    </row>
    <row r="229" spans="2:25" x14ac:dyDescent="0.2">
      <c r="B229" s="34"/>
      <c r="C229" s="30" t="str">
        <f>IF(B229=0,"",IF('Imperial Data'!AG218&gt;=1, INDEX(Imperial_Incremental[], MATCH('Imperial Data'!AG218, Imperial_Incremental[Height], 1), MATCH('Cumulative Volumes Imperial'!$F$4, Imperial_Incremental[#Headers], 0)), 0))</f>
        <v/>
      </c>
      <c r="D229" s="30" t="str">
        <f>IF(B229=0,"",IF('Imperial Data'!AG218&gt;=1, INDEX(Imperial_Incremental[], MATCH('Imperial Data'!AG218, Imperial_Incremental[Height], 1), MATCH('Cumulative Volumes Imperial'!$F$4 &amp; "EC", Imperial_Incremental[#Headers], 0)), 0))</f>
        <v/>
      </c>
      <c r="E229" s="30"/>
      <c r="F229" s="30"/>
      <c r="G229" s="30" t="str">
        <f>IF(B229=0,"",IF('Cumulative Volumes Imperial'!$AQ$17=FALSE,I229,H229))</f>
        <v/>
      </c>
      <c r="H229" s="30"/>
      <c r="I229" s="30"/>
      <c r="J229" s="30" t="str">
        <f>IF(B229="","",IF('Cumulative Volumes Imperial'!$AQ$17=FALSE,L229,K229))</f>
        <v/>
      </c>
      <c r="K229" s="30"/>
      <c r="L229" s="30"/>
      <c r="M229" s="30" t="str">
        <f>IF($E$8+45+$E$9&gt;989,"FALSE",IF(B229="","",IF('Cumulative Volumes Imperial'!$AQ$17=FALSE,O229,N229)))</f>
        <v/>
      </c>
      <c r="N229" s="30"/>
      <c r="O229" s="30" t="str">
        <f>IF(B229=0,"",IF('Cumulative Volumes Imperial'!$AQ$17=FALSE,(V229*$E$4)+(W229*$E$5),N229))</f>
        <v/>
      </c>
      <c r="P229" s="30" t="str">
        <f>IF(B229=0,"",(((1/12)*'Imperial Data'!$AC$4*'Imperial Data'!$AC$5)-C229)*$H$6)</f>
        <v/>
      </c>
      <c r="Q229" s="30"/>
      <c r="R229" s="30" t="str">
        <f>IF(B229=0,"",(((1/12)*'Imperial Data'!$AC$5*'Imperial Data'!$AC$7)-D229)*$H$6)</f>
        <v/>
      </c>
      <c r="S229" s="30"/>
      <c r="T229" s="30"/>
      <c r="U229" s="30"/>
      <c r="V229" s="30"/>
      <c r="W229" s="30" t="str">
        <f t="shared" si="63"/>
        <v/>
      </c>
      <c r="X229" s="31"/>
      <c r="Y229" s="30" t="str">
        <f t="shared" si="62"/>
        <v/>
      </c>
    </row>
    <row r="230" spans="2:25" x14ac:dyDescent="0.2">
      <c r="B230" s="34"/>
      <c r="C230" s="30" t="str">
        <f>IF(B230=0,"",IF('Imperial Data'!AG219&gt;=1, INDEX(Imperial_Incremental[], MATCH('Imperial Data'!AG219, Imperial_Incremental[Height], 1), MATCH('Cumulative Volumes Imperial'!$F$4, Imperial_Incremental[#Headers], 0)), 0))</f>
        <v/>
      </c>
      <c r="D230" s="30" t="str">
        <f>IF(B230=0,"",IF('Imperial Data'!AG219&gt;=1, INDEX(Imperial_Incremental[], MATCH('Imperial Data'!AG219, Imperial_Incremental[Height], 1), MATCH('Cumulative Volumes Imperial'!$F$4 &amp; "EC", Imperial_Incremental[#Headers], 0)), 0))</f>
        <v/>
      </c>
      <c r="E230" s="30"/>
      <c r="F230" s="30"/>
      <c r="G230" s="30" t="str">
        <f>IF(B230=0,"",IF('Cumulative Volumes Imperial'!$AQ$17=FALSE,I230,H230))</f>
        <v/>
      </c>
      <c r="H230" s="30"/>
      <c r="I230" s="30"/>
      <c r="J230" s="30" t="str">
        <f>IF(B230="","",IF('Cumulative Volumes Imperial'!$AQ$17=FALSE,L230,K230))</f>
        <v/>
      </c>
      <c r="K230" s="30"/>
      <c r="L230" s="30"/>
      <c r="M230" s="30" t="str">
        <f>IF($E$8+45+$E$9&gt;989,"FALSE",IF(B230="","",IF('Cumulative Volumes Imperial'!$AQ$17=FALSE,O230,N230)))</f>
        <v/>
      </c>
      <c r="N230" s="30"/>
      <c r="O230" s="30" t="str">
        <f>IF(B230=0,"",IF('Cumulative Volumes Imperial'!$AQ$17=FALSE,(V230*$E$4)+(W230*$E$5),N230))</f>
        <v/>
      </c>
      <c r="P230" s="30" t="str">
        <f>IF(B230=0,"",(((1/12)*'Imperial Data'!$AC$4*'Imperial Data'!$AC$5)-C230)*$H$6)</f>
        <v/>
      </c>
      <c r="Q230" s="30"/>
      <c r="R230" s="30" t="str">
        <f>IF(B230=0,"",(((1/12)*'Imperial Data'!$AC$5*'Imperial Data'!$AC$7)-D230)*$H$6)</f>
        <v/>
      </c>
      <c r="S230" s="30"/>
      <c r="T230" s="30"/>
      <c r="U230" s="30"/>
      <c r="V230" s="30"/>
      <c r="W230" s="30" t="str">
        <f t="shared" si="63"/>
        <v/>
      </c>
      <c r="X230" s="31"/>
      <c r="Y230" s="30" t="str">
        <f t="shared" si="62"/>
        <v/>
      </c>
    </row>
    <row r="231" spans="2:25" x14ac:dyDescent="0.2">
      <c r="B231" s="34"/>
      <c r="C231" s="30" t="str">
        <f>IF(B231=0,"",IF('Imperial Data'!AG220&gt;=1, INDEX(Imperial_Incremental[], MATCH('Imperial Data'!AG220, Imperial_Incremental[Height], 1), MATCH('Cumulative Volumes Imperial'!$F$4, Imperial_Incremental[#Headers], 0)), 0))</f>
        <v/>
      </c>
      <c r="D231" s="30" t="str">
        <f>IF(B231=0,"",IF('Imperial Data'!AG220&gt;=1, INDEX(Imperial_Incremental[], MATCH('Imperial Data'!AG220, Imperial_Incremental[Height], 1), MATCH('Cumulative Volumes Imperial'!$F$4 &amp; "EC", Imperial_Incremental[#Headers], 0)), 0))</f>
        <v/>
      </c>
      <c r="E231" s="30"/>
      <c r="F231" s="30"/>
      <c r="G231" s="30" t="str">
        <f>IF(B231=0,"",IF('Cumulative Volumes Imperial'!$AQ$17=FALSE,I231,H231))</f>
        <v/>
      </c>
      <c r="H231" s="30"/>
      <c r="I231" s="30"/>
      <c r="J231" s="30" t="str">
        <f>IF(B231="","",IF('Cumulative Volumes Imperial'!$AQ$17=FALSE,L231,K231))</f>
        <v/>
      </c>
      <c r="K231" s="30"/>
      <c r="L231" s="30"/>
      <c r="M231" s="30" t="str">
        <f>IF($E$8+45+$E$9&gt;989,"FALSE",IF(B231="","",IF('Cumulative Volumes Imperial'!$AQ$17=FALSE,O231,N231)))</f>
        <v/>
      </c>
      <c r="N231" s="30"/>
      <c r="O231" s="30" t="str">
        <f>IF(B231=0,"",IF('Cumulative Volumes Imperial'!$AQ$17=FALSE,(V231*$E$4)+(W231*$E$5),N231))</f>
        <v/>
      </c>
      <c r="P231" s="30" t="str">
        <f>IF(B231=0,"",(((1/12)*'Imperial Data'!$AC$4*'Imperial Data'!$AC$5)-C231)*$H$6)</f>
        <v/>
      </c>
      <c r="Q231" s="30"/>
      <c r="R231" s="30" t="str">
        <f>IF(B231=0,"",(((1/12)*'Imperial Data'!$AC$5*'Imperial Data'!$AC$7)-D231)*$H$6)</f>
        <v/>
      </c>
      <c r="S231" s="30"/>
      <c r="T231" s="30"/>
      <c r="U231" s="30"/>
      <c r="V231" s="30"/>
      <c r="W231" s="30" t="str">
        <f t="shared" si="63"/>
        <v/>
      </c>
      <c r="X231" s="31"/>
      <c r="Y231" s="30" t="str">
        <f t="shared" si="62"/>
        <v/>
      </c>
    </row>
    <row r="232" spans="2:25" x14ac:dyDescent="0.2">
      <c r="B232" s="34"/>
      <c r="C232" s="30" t="str">
        <f>IF(B232=0,"",IF('Imperial Data'!AG221&gt;=1, INDEX(Imperial_Incremental[], MATCH('Imperial Data'!AG221, Imperial_Incremental[Height], 1), MATCH('Cumulative Volumes Imperial'!$F$4, Imperial_Incremental[#Headers], 0)), 0))</f>
        <v/>
      </c>
      <c r="D232" s="30" t="str">
        <f>IF(B232=0,"",IF('Imperial Data'!AG221&gt;=1, INDEX(Imperial_Incremental[], MATCH('Imperial Data'!AG221, Imperial_Incremental[Height], 1), MATCH('Cumulative Volumes Imperial'!$F$4 &amp; "EC", Imperial_Incremental[#Headers], 0)), 0))</f>
        <v/>
      </c>
      <c r="E232" s="30"/>
      <c r="F232" s="30"/>
      <c r="G232" s="30" t="str">
        <f>IF(B232=0,"",IF('Cumulative Volumes Imperial'!$AQ$17=FALSE,I232,H232))</f>
        <v/>
      </c>
      <c r="H232" s="30"/>
      <c r="I232" s="30"/>
      <c r="J232" s="30" t="str">
        <f>IF(B232="","",IF('Cumulative Volumes Imperial'!$AQ$17=FALSE,L232,K232))</f>
        <v/>
      </c>
      <c r="K232" s="30"/>
      <c r="L232" s="30"/>
      <c r="M232" s="30" t="str">
        <f>IF($E$8+45+$E$9&gt;989,"FALSE",IF(B232="","",IF('Cumulative Volumes Imperial'!$AQ$17=FALSE,O232,N232)))</f>
        <v/>
      </c>
      <c r="N232" s="30"/>
      <c r="O232" s="30" t="str">
        <f>IF(B232=0,"",IF('Cumulative Volumes Imperial'!$AQ$17=FALSE,(V232*$E$4)+(W232*$E$5),N232))</f>
        <v/>
      </c>
      <c r="P232" s="30" t="str">
        <f>IF(B232=0,"",(((1/12)*'Imperial Data'!$AC$4*'Imperial Data'!$AC$5)-C232)*$H$6)</f>
        <v/>
      </c>
      <c r="Q232" s="30"/>
      <c r="R232" s="30" t="str">
        <f>IF(B232=0,"",(((1/12)*'Imperial Data'!$AC$5*'Imperial Data'!$AC$7)-D232)*$H$6)</f>
        <v/>
      </c>
      <c r="S232" s="30"/>
      <c r="T232" s="30"/>
      <c r="U232" s="30"/>
      <c r="V232" s="30"/>
      <c r="W232" s="30" t="str">
        <f t="shared" si="63"/>
        <v/>
      </c>
      <c r="X232" s="31"/>
      <c r="Y232" s="30" t="str">
        <f t="shared" si="62"/>
        <v/>
      </c>
    </row>
    <row r="233" spans="2:25" x14ac:dyDescent="0.2">
      <c r="B233" s="34"/>
      <c r="C233" s="30" t="str">
        <f>IF(B233=0,"",IF('Imperial Data'!AG222&gt;=1, INDEX(Imperial_Incremental[], MATCH('Imperial Data'!AG222, Imperial_Incremental[Height], 1), MATCH('Cumulative Volumes Imperial'!$F$4, Imperial_Incremental[#Headers], 0)), 0))</f>
        <v/>
      </c>
      <c r="D233" s="30" t="str">
        <f>IF(B233=0,"",IF('Imperial Data'!AG222&gt;=1, INDEX(Imperial_Incremental[], MATCH('Imperial Data'!AG222, Imperial_Incremental[Height], 1), MATCH('Cumulative Volumes Imperial'!$F$4 &amp; "EC", Imperial_Incremental[#Headers], 0)), 0))</f>
        <v/>
      </c>
      <c r="E233" s="30"/>
      <c r="F233" s="30"/>
      <c r="G233" s="30" t="str">
        <f>IF(B233=0,"",IF('Cumulative Volumes Imperial'!$AQ$17=FALSE,I233,H233))</f>
        <v/>
      </c>
      <c r="H233" s="30"/>
      <c r="I233" s="30"/>
      <c r="J233" s="30" t="str">
        <f>IF(B233="","",IF('Cumulative Volumes Imperial'!$AQ$17=FALSE,L233,K233))</f>
        <v/>
      </c>
      <c r="K233" s="30"/>
      <c r="L233" s="30"/>
      <c r="M233" s="30" t="str">
        <f>IF($E$8+45+$E$9&gt;989,"FALSE",IF(B233="","",IF('Cumulative Volumes Imperial'!$AQ$17=FALSE,O233,N233)))</f>
        <v/>
      </c>
      <c r="N233" s="30"/>
      <c r="O233" s="30" t="str">
        <f>IF(B233=0,"",IF('Cumulative Volumes Imperial'!$AQ$17=FALSE,(V233*$E$4)+(W233*$E$5),N233))</f>
        <v/>
      </c>
      <c r="P233" s="30" t="str">
        <f>IF(B233=0,"",(((1/12)*'Imperial Data'!$AC$4*'Imperial Data'!$AC$5)-C233)*$H$6)</f>
        <v/>
      </c>
      <c r="Q233" s="30"/>
      <c r="R233" s="30" t="str">
        <f>IF(B233=0,"",(((1/12)*'Imperial Data'!$AC$5*'Imperial Data'!$AC$7)-D233)*$H$6)</f>
        <v/>
      </c>
      <c r="S233" s="30"/>
      <c r="T233" s="30"/>
      <c r="U233" s="30"/>
      <c r="V233" s="30"/>
      <c r="W233" s="30" t="str">
        <f t="shared" si="63"/>
        <v/>
      </c>
      <c r="X233" s="31"/>
      <c r="Y233" s="30" t="str">
        <f t="shared" si="62"/>
        <v/>
      </c>
    </row>
    <row r="234" spans="2:25" x14ac:dyDescent="0.2">
      <c r="B234" s="34"/>
      <c r="C234" s="30" t="str">
        <f>IF(B234=0,"",IF('Imperial Data'!AG223&gt;=1, INDEX(Imperial_Incremental[], MATCH('Imperial Data'!AG223, Imperial_Incremental[Height], 1), MATCH('Cumulative Volumes Imperial'!$F$4, Imperial_Incremental[#Headers], 0)), 0))</f>
        <v/>
      </c>
      <c r="D234" s="30" t="str">
        <f>IF(B234=0,"",IF('Imperial Data'!AG223&gt;=1, INDEX(Imperial_Incremental[], MATCH('Imperial Data'!AG223, Imperial_Incremental[Height], 1), MATCH('Cumulative Volumes Imperial'!$F$4 &amp; "EC", Imperial_Incremental[#Headers], 0)), 0))</f>
        <v/>
      </c>
      <c r="E234" s="30"/>
      <c r="F234" s="30"/>
      <c r="G234" s="30" t="str">
        <f>IF(B234=0,"",IF('Cumulative Volumes Imperial'!$AQ$17=FALSE,I234,H234))</f>
        <v/>
      </c>
      <c r="H234" s="30"/>
      <c r="I234" s="30"/>
      <c r="J234" s="30" t="str">
        <f>IF(B234="","",IF('Cumulative Volumes Imperial'!$AQ$17=FALSE,L234,K234))</f>
        <v/>
      </c>
      <c r="K234" s="30"/>
      <c r="L234" s="30"/>
      <c r="M234" s="30" t="str">
        <f>IF($E$8+45+$E$9&gt;989,"FALSE",IF(B234="","",IF('Cumulative Volumes Imperial'!$AQ$17=FALSE,O234,N234)))</f>
        <v/>
      </c>
      <c r="N234" s="30"/>
      <c r="O234" s="30" t="str">
        <f>IF(B234=0,"",IF('Cumulative Volumes Imperial'!$AQ$17=FALSE,(V234*$E$4)+(W234*$E$5),N234))</f>
        <v/>
      </c>
      <c r="P234" s="30" t="str">
        <f>IF(B234=0,"",(((1/12)*'Imperial Data'!$AC$4*'Imperial Data'!$AC$5)-C234)*$H$6)</f>
        <v/>
      </c>
      <c r="Q234" s="30"/>
      <c r="R234" s="30" t="str">
        <f>IF(B234=0,"",(((1/12)*'Imperial Data'!$AC$5*'Imperial Data'!$AC$7)-D234)*$H$6)</f>
        <v/>
      </c>
      <c r="S234" s="30"/>
      <c r="T234" s="30"/>
      <c r="U234" s="30"/>
      <c r="V234" s="30"/>
      <c r="W234" s="30" t="str">
        <f t="shared" si="63"/>
        <v/>
      </c>
      <c r="X234" s="31"/>
      <c r="Y234" s="30" t="str">
        <f t="shared" si="62"/>
        <v/>
      </c>
    </row>
    <row r="235" spans="2:25" x14ac:dyDescent="0.2">
      <c r="B235" s="34"/>
      <c r="C235" s="30" t="str">
        <f>IF(B235=0,"",IF('Imperial Data'!AG224&gt;=1, INDEX(Imperial_Incremental[], MATCH('Imperial Data'!AG224, Imperial_Incremental[Height], 1), MATCH('Cumulative Volumes Imperial'!$F$4, Imperial_Incremental[#Headers], 0)), 0))</f>
        <v/>
      </c>
      <c r="D235" s="30" t="str">
        <f>IF(B235=0,"",IF('Imperial Data'!AG224&gt;=1, INDEX(Imperial_Incremental[], MATCH('Imperial Data'!AG224, Imperial_Incremental[Height], 1), MATCH('Cumulative Volumes Imperial'!$F$4 &amp; "EC", Imperial_Incremental[#Headers], 0)), 0))</f>
        <v/>
      </c>
      <c r="E235" s="30"/>
      <c r="F235" s="30"/>
      <c r="G235" s="30" t="str">
        <f>IF(B235=0,"",IF('Cumulative Volumes Imperial'!$AQ$17=FALSE,I235,H235))</f>
        <v/>
      </c>
      <c r="H235" s="30"/>
      <c r="I235" s="30"/>
      <c r="J235" s="30" t="str">
        <f>IF(B235="","",IF('Cumulative Volumes Imperial'!$AQ$17=FALSE,L235,K235))</f>
        <v/>
      </c>
      <c r="K235" s="30"/>
      <c r="L235" s="30"/>
      <c r="M235" s="30" t="str">
        <f>IF($E$8+45+$E$9&gt;989,"FALSE",IF(B235="","",IF('Cumulative Volumes Imperial'!$AQ$17=FALSE,O235,N235)))</f>
        <v/>
      </c>
      <c r="N235" s="30"/>
      <c r="O235" s="30" t="str">
        <f>IF(B235=0,"",IF('Cumulative Volumes Imperial'!$AQ$17=FALSE,(V235*$E$4)+(W235*$E$5),N235))</f>
        <v/>
      </c>
      <c r="P235" s="30" t="str">
        <f>IF(B235=0,"",(((1/12)*'Imperial Data'!$AC$4*'Imperial Data'!$AC$5)-C235)*$H$6)</f>
        <v/>
      </c>
      <c r="Q235" s="30"/>
      <c r="R235" s="30" t="str">
        <f>IF(B235=0,"",(((1/12)*'Imperial Data'!$AC$5*'Imperial Data'!$AC$7)-D235)*$H$6)</f>
        <v/>
      </c>
      <c r="S235" s="30"/>
      <c r="T235" s="30"/>
      <c r="U235" s="30"/>
      <c r="V235" s="30"/>
      <c r="W235" s="30" t="str">
        <f t="shared" si="63"/>
        <v/>
      </c>
      <c r="X235" s="31"/>
      <c r="Y235" s="30" t="str">
        <f t="shared" si="62"/>
        <v/>
      </c>
    </row>
    <row r="236" spans="2:25" x14ac:dyDescent="0.2">
      <c r="B236" s="34"/>
      <c r="C236" s="30" t="str">
        <f>IF(B236=0,"",IF('Imperial Data'!AG225&gt;=1, INDEX(Imperial_Incremental[], MATCH('Imperial Data'!AG225, Imperial_Incremental[Height], 1), MATCH('Cumulative Volumes Imperial'!$F$4, Imperial_Incremental[#Headers], 0)), 0))</f>
        <v/>
      </c>
      <c r="D236" s="30" t="str">
        <f>IF(B236=0,"",IF('Imperial Data'!AG225&gt;=1, INDEX(Imperial_Incremental[], MATCH('Imperial Data'!AG225, Imperial_Incremental[Height], 1), MATCH('Cumulative Volumes Imperial'!$F$4 &amp; "EC", Imperial_Incremental[#Headers], 0)), 0))</f>
        <v/>
      </c>
      <c r="E236" s="30"/>
      <c r="F236" s="30"/>
      <c r="G236" s="30" t="str">
        <f>IF(B236=0,"",IF('Cumulative Volumes Imperial'!$AQ$17=FALSE,I236,H236))</f>
        <v/>
      </c>
      <c r="H236" s="30"/>
      <c r="I236" s="30"/>
      <c r="J236" s="30" t="str">
        <f>IF(B236="","",IF('Cumulative Volumes Imperial'!$AQ$17=FALSE,L236,K236))</f>
        <v/>
      </c>
      <c r="K236" s="30"/>
      <c r="L236" s="30"/>
      <c r="M236" s="30" t="str">
        <f>IF($E$8+45+$E$9&gt;989,"FALSE",IF(B236="","",IF('Cumulative Volumes Imperial'!$AQ$17=FALSE,O236,N236)))</f>
        <v/>
      </c>
      <c r="N236" s="30"/>
      <c r="O236" s="30" t="str">
        <f>IF(B236=0,"",IF('Cumulative Volumes Imperial'!$AQ$17=FALSE,(V236*$E$4)+(W236*$E$5),N236))</f>
        <v/>
      </c>
      <c r="P236" s="30" t="str">
        <f>IF(B236=0,"",(((1/12)*'Imperial Data'!$AC$4*'Imperial Data'!$AC$5)-C236)*$H$6)</f>
        <v/>
      </c>
      <c r="Q236" s="30"/>
      <c r="R236" s="30" t="str">
        <f>IF(B236=0,"",(((1/12)*'Imperial Data'!$AC$5*'Imperial Data'!$AC$7)-D236)*$H$6)</f>
        <v/>
      </c>
      <c r="S236" s="30"/>
      <c r="T236" s="30"/>
      <c r="U236" s="30"/>
      <c r="V236" s="30"/>
      <c r="W236" s="30" t="str">
        <f t="shared" si="63"/>
        <v/>
      </c>
      <c r="X236" s="31"/>
      <c r="Y236" s="30" t="str">
        <f t="shared" si="62"/>
        <v/>
      </c>
    </row>
    <row r="237" spans="2:25" x14ac:dyDescent="0.2">
      <c r="B237" s="34"/>
      <c r="C237" s="30" t="str">
        <f>IF(B237=0,"",IF('Imperial Data'!AG226&gt;=1, INDEX(Imperial_Incremental[], MATCH('Imperial Data'!AG226, Imperial_Incremental[Height], 1), MATCH('Cumulative Volumes Imperial'!$F$4, Imperial_Incremental[#Headers], 0)), 0))</f>
        <v/>
      </c>
      <c r="D237" s="30" t="str">
        <f>IF(B237=0,"",IF('Imperial Data'!AG226&gt;=1, INDEX(Imperial_Incremental[], MATCH('Imperial Data'!AG226, Imperial_Incremental[Height], 1), MATCH('Cumulative Volumes Imperial'!$F$4 &amp; "EC", Imperial_Incremental[#Headers], 0)), 0))</f>
        <v/>
      </c>
      <c r="E237" s="30"/>
      <c r="F237" s="30"/>
      <c r="G237" s="30" t="str">
        <f>IF(B237=0,"",IF('Cumulative Volumes Imperial'!$AQ$17=FALSE,I237,H237))</f>
        <v/>
      </c>
      <c r="H237" s="30"/>
      <c r="I237" s="30"/>
      <c r="J237" s="30" t="str">
        <f>IF(B237="","",IF('Cumulative Volumes Imperial'!$AQ$17=FALSE,L237,K237))</f>
        <v/>
      </c>
      <c r="K237" s="30"/>
      <c r="L237" s="30"/>
      <c r="M237" s="30" t="str">
        <f>IF($E$8+45+$E$9&gt;989,"FALSE",IF(B237="","",IF('Cumulative Volumes Imperial'!$AQ$17=FALSE,O237,N237)))</f>
        <v/>
      </c>
      <c r="N237" s="30"/>
      <c r="O237" s="30" t="str">
        <f>IF(B237=0,"",IF('Cumulative Volumes Imperial'!$AQ$17=FALSE,(V237*$E$4)+(W237*$E$5),N237))</f>
        <v/>
      </c>
      <c r="P237" s="30" t="str">
        <f>IF(B237=0,"",(((1/12)*'Imperial Data'!$AC$4*'Imperial Data'!$AC$5)-C237)*$H$6)</f>
        <v/>
      </c>
      <c r="Q237" s="30"/>
      <c r="R237" s="30" t="str">
        <f>IF(B237=0,"",(((1/12)*'Imperial Data'!$AC$5*'Imperial Data'!$AC$7)-D237)*$H$6)</f>
        <v/>
      </c>
      <c r="S237" s="30"/>
      <c r="T237" s="30"/>
      <c r="U237" s="30"/>
      <c r="V237" s="30"/>
      <c r="W237" s="30" t="str">
        <f t="shared" si="63"/>
        <v/>
      </c>
      <c r="X237" s="31"/>
      <c r="Y237" s="30" t="str">
        <f t="shared" si="62"/>
        <v/>
      </c>
    </row>
    <row r="238" spans="2:25" x14ac:dyDescent="0.2">
      <c r="B238" s="34"/>
      <c r="C238" s="30" t="str">
        <f>IF(B238=0,"",IF('Imperial Data'!AG227&gt;=1, INDEX(Imperial_Incremental[], MATCH('Imperial Data'!AG227, Imperial_Incremental[Height], 1), MATCH('Cumulative Volumes Imperial'!$F$4, Imperial_Incremental[#Headers], 0)), 0))</f>
        <v/>
      </c>
      <c r="D238" s="30" t="str">
        <f>IF(B238=0,"",IF('Imperial Data'!AG227&gt;=1, INDEX(Imperial_Incremental[], MATCH('Imperial Data'!AG227, Imperial_Incremental[Height], 1), MATCH('Cumulative Volumes Imperial'!$F$4 &amp; "EC", Imperial_Incremental[#Headers], 0)), 0))</f>
        <v/>
      </c>
      <c r="E238" s="30"/>
      <c r="F238" s="30"/>
      <c r="G238" s="30" t="str">
        <f>IF(B238=0,"",IF('Cumulative Volumes Imperial'!$AQ$17=FALSE,I238,H238))</f>
        <v/>
      </c>
      <c r="H238" s="30"/>
      <c r="I238" s="30"/>
      <c r="J238" s="30" t="str">
        <f>IF(B238="","",IF('Cumulative Volumes Imperial'!$AQ$17=FALSE,L238,K238))</f>
        <v/>
      </c>
      <c r="K238" s="30"/>
      <c r="L238" s="30"/>
      <c r="M238" s="30" t="str">
        <f>IF($E$8+45+$E$9&gt;989,"FALSE",IF(B238="","",IF('Cumulative Volumes Imperial'!$AQ$17=FALSE,O238,N238)))</f>
        <v/>
      </c>
      <c r="N238" s="30"/>
      <c r="O238" s="30" t="str">
        <f>IF(B238=0,"",IF('Cumulative Volumes Imperial'!$AQ$17=FALSE,(V238*$E$4)+(W238*$E$5),N238))</f>
        <v/>
      </c>
      <c r="P238" s="30" t="str">
        <f>IF(B238=0,"",(((1/12)*'Imperial Data'!$AC$4*'Imperial Data'!$AC$5)-C238)*$H$6)</f>
        <v/>
      </c>
      <c r="Q238" s="30"/>
      <c r="R238" s="30" t="str">
        <f>IF(B238=0,"",(((1/12)*'Imperial Data'!$AC$5*'Imperial Data'!$AC$7)-D238)*$H$6)</f>
        <v/>
      </c>
      <c r="S238" s="30"/>
      <c r="T238" s="30"/>
      <c r="U238" s="30"/>
      <c r="V238" s="30"/>
      <c r="W238" s="30" t="str">
        <f t="shared" si="63"/>
        <v/>
      </c>
      <c r="X238" s="31"/>
      <c r="Y238" s="30" t="str">
        <f t="shared" si="62"/>
        <v/>
      </c>
    </row>
    <row r="239" spans="2:25" x14ac:dyDescent="0.2">
      <c r="B239" s="34"/>
      <c r="C239" s="30" t="str">
        <f>IF(B239=0,"",IF('Imperial Data'!AG228&gt;=1, INDEX(Imperial_Incremental[], MATCH('Imperial Data'!AG228, Imperial_Incremental[Height], 1), MATCH('Cumulative Volumes Imperial'!$F$4, Imperial_Incremental[#Headers], 0)), 0))</f>
        <v/>
      </c>
      <c r="D239" s="30" t="str">
        <f>IF(B239=0,"",IF('Imperial Data'!AG228&gt;=1, INDEX(Imperial_Incremental[], MATCH('Imperial Data'!AG228, Imperial_Incremental[Height], 1), MATCH('Cumulative Volumes Imperial'!$F$4 &amp; "EC", Imperial_Incremental[#Headers], 0)), 0))</f>
        <v/>
      </c>
      <c r="E239" s="30"/>
      <c r="F239" s="30"/>
      <c r="G239" s="30" t="str">
        <f>IF(B239=0,"",IF('Cumulative Volumes Imperial'!$AQ$17=FALSE,I239,H239))</f>
        <v/>
      </c>
      <c r="H239" s="30"/>
      <c r="I239" s="30"/>
      <c r="J239" s="30" t="str">
        <f>IF(B239="","",IF('Cumulative Volumes Imperial'!$AQ$17=FALSE,L239,K239))</f>
        <v/>
      </c>
      <c r="K239" s="30"/>
      <c r="L239" s="30"/>
      <c r="M239" s="30" t="str">
        <f>IF($E$8+45+$E$9&gt;989,"FALSE",IF(B239="","",IF('Cumulative Volumes Imperial'!$AQ$17=FALSE,O239,N239)))</f>
        <v/>
      </c>
      <c r="N239" s="30"/>
      <c r="O239" s="30" t="str">
        <f>IF(B239=0,"",IF('Cumulative Volumes Imperial'!$AQ$17=FALSE,(V239*$E$4)+(W239*$E$5),N239))</f>
        <v/>
      </c>
      <c r="P239" s="30" t="str">
        <f>IF(B239=0,"",(((1/12)*'Imperial Data'!$AC$4*'Imperial Data'!$AC$5)-C239)*$H$6)</f>
        <v/>
      </c>
      <c r="Q239" s="30"/>
      <c r="R239" s="30" t="str">
        <f>IF(B239=0,"",(((1/12)*'Imperial Data'!$AC$5*'Imperial Data'!$AC$7)-D239)*$H$6)</f>
        <v/>
      </c>
      <c r="S239" s="30"/>
      <c r="T239" s="30"/>
      <c r="U239" s="30"/>
      <c r="V239" s="30"/>
      <c r="W239" s="30" t="str">
        <f t="shared" si="63"/>
        <v/>
      </c>
      <c r="X239" s="31"/>
      <c r="Y239" s="30" t="str">
        <f t="shared" si="62"/>
        <v/>
      </c>
    </row>
    <row r="240" spans="2:25" x14ac:dyDescent="0.2">
      <c r="B240" s="34"/>
      <c r="C240" s="30" t="str">
        <f>IF(B240=0,"",IF('Imperial Data'!AG229&gt;=1, INDEX(Imperial_Incremental[], MATCH('Imperial Data'!AG229, Imperial_Incremental[Height], 1), MATCH('Cumulative Volumes Imperial'!$F$4, Imperial_Incremental[#Headers], 0)), 0))</f>
        <v/>
      </c>
      <c r="D240" s="30" t="str">
        <f>IF(B240=0,"",IF('Imperial Data'!AG229&gt;=1, INDEX(Imperial_Incremental[], MATCH('Imperial Data'!AG229, Imperial_Incremental[Height], 1), MATCH('Cumulative Volumes Imperial'!$F$4 &amp; "EC", Imperial_Incremental[#Headers], 0)), 0))</f>
        <v/>
      </c>
      <c r="E240" s="30"/>
      <c r="F240" s="30"/>
      <c r="G240" s="30" t="str">
        <f>IF(B240=0,"",IF('Cumulative Volumes Imperial'!$AQ$17=FALSE,I240,H240))</f>
        <v/>
      </c>
      <c r="H240" s="30"/>
      <c r="I240" s="30"/>
      <c r="J240" s="30" t="str">
        <f>IF(B240="","",IF('Cumulative Volumes Imperial'!$AQ$17=FALSE,L240,K240))</f>
        <v/>
      </c>
      <c r="K240" s="30"/>
      <c r="L240" s="30"/>
      <c r="M240" s="30" t="str">
        <f>IF($E$8+45+$E$9&gt;989,"FALSE",IF(B240="","",IF('Cumulative Volumes Imperial'!$AQ$17=FALSE,O240,N240)))</f>
        <v/>
      </c>
      <c r="N240" s="30"/>
      <c r="O240" s="30" t="str">
        <f>IF(B240=0,"",IF('Cumulative Volumes Imperial'!$AQ$17=FALSE,(V240*$E$4)+(W240*$E$5),N240))</f>
        <v/>
      </c>
      <c r="P240" s="30" t="str">
        <f>IF(B240=0,"",(((1/12)*'Imperial Data'!$AC$4*'Imperial Data'!$AC$5)-C240)*$H$6)</f>
        <v/>
      </c>
      <c r="Q240" s="30"/>
      <c r="R240" s="30" t="str">
        <f>IF(B240=0,"",(((1/12)*'Imperial Data'!$AC$5*'Imperial Data'!$AC$7)-D240)*$H$6)</f>
        <v/>
      </c>
      <c r="S240" s="30"/>
      <c r="T240" s="30"/>
      <c r="U240" s="30"/>
      <c r="V240" s="30"/>
      <c r="W240" s="30" t="str">
        <f t="shared" si="63"/>
        <v/>
      </c>
      <c r="X240" s="31"/>
      <c r="Y240" s="30" t="str">
        <f t="shared" si="62"/>
        <v/>
      </c>
    </row>
    <row r="241" spans="2:25" x14ac:dyDescent="0.2">
      <c r="B241" s="34"/>
      <c r="C241" s="30" t="str">
        <f>IF(B241=0,"",IF('Imperial Data'!AG230&gt;=1, INDEX(Imperial_Incremental[], MATCH('Imperial Data'!AG230, Imperial_Incremental[Height], 1), MATCH('Cumulative Volumes Imperial'!$F$4, Imperial_Incremental[#Headers], 0)), 0))</f>
        <v/>
      </c>
      <c r="D241" s="30" t="str">
        <f>IF(B241=0,"",IF('Imperial Data'!AG230&gt;=1, INDEX(Imperial_Incremental[], MATCH('Imperial Data'!AG230, Imperial_Incremental[Height], 1), MATCH('Cumulative Volumes Imperial'!$F$4 &amp; "EC", Imperial_Incremental[#Headers], 0)), 0))</f>
        <v/>
      </c>
      <c r="E241" s="30"/>
      <c r="F241" s="30"/>
      <c r="G241" s="30" t="str">
        <f>IF(B241=0,"",IF('Cumulative Volumes Imperial'!$AQ$17=FALSE,I241,H241))</f>
        <v/>
      </c>
      <c r="H241" s="30"/>
      <c r="I241" s="30"/>
      <c r="J241" s="30" t="str">
        <f>IF(B241="","",IF('Cumulative Volumes Imperial'!$AQ$17=FALSE,L241,K241))</f>
        <v/>
      </c>
      <c r="K241" s="30"/>
      <c r="L241" s="30"/>
      <c r="M241" s="30" t="str">
        <f>IF($E$8+45+$E$9&gt;989,"FALSE",IF(B241="","",IF('Cumulative Volumes Imperial'!$AQ$17=FALSE,O241,N241)))</f>
        <v/>
      </c>
      <c r="N241" s="30"/>
      <c r="O241" s="30" t="str">
        <f>IF(B241=0,"",IF('Cumulative Volumes Imperial'!$AQ$17=FALSE,(V241*$E$4)+(W241*$E$5),N241))</f>
        <v/>
      </c>
      <c r="P241" s="30" t="str">
        <f>IF(B241=0,"",(((1/12)*'Imperial Data'!$AC$4*'Imperial Data'!$AC$5)-C241)*$H$6)</f>
        <v/>
      </c>
      <c r="Q241" s="30"/>
      <c r="R241" s="30" t="str">
        <f>IF(B241=0,"",(((1/12)*'Imperial Data'!$AC$5*'Imperial Data'!$AC$7)-D241)*$H$6)</f>
        <v/>
      </c>
      <c r="S241" s="30"/>
      <c r="T241" s="30"/>
      <c r="U241" s="30"/>
      <c r="V241" s="30"/>
      <c r="W241" s="30" t="str">
        <f t="shared" si="63"/>
        <v/>
      </c>
      <c r="X241" s="31"/>
      <c r="Y241" s="30" t="str">
        <f t="shared" si="62"/>
        <v/>
      </c>
    </row>
    <row r="242" spans="2:25" x14ac:dyDescent="0.2">
      <c r="B242" s="34"/>
      <c r="C242" s="30" t="str">
        <f>IF(B242=0,"",IF('Imperial Data'!AG231&gt;=1, INDEX(Imperial_Incremental[], MATCH('Imperial Data'!AG231, Imperial_Incremental[Height], 1), MATCH('Cumulative Volumes Imperial'!$F$4, Imperial_Incremental[#Headers], 0)), 0))</f>
        <v/>
      </c>
      <c r="D242" s="30" t="str">
        <f>IF(B242=0,"",IF('Imperial Data'!AG231&gt;=1, INDEX(Imperial_Incremental[], MATCH('Imperial Data'!AG231, Imperial_Incremental[Height], 1), MATCH('Cumulative Volumes Imperial'!$F$4 &amp; "EC", Imperial_Incremental[#Headers], 0)), 0))</f>
        <v/>
      </c>
      <c r="E242" s="30"/>
      <c r="F242" s="30"/>
      <c r="G242" s="30" t="str">
        <f>IF(B242=0,"",IF('Cumulative Volumes Imperial'!$AQ$17=FALSE,I242,H242))</f>
        <v/>
      </c>
      <c r="H242" s="30"/>
      <c r="I242" s="30"/>
      <c r="J242" s="30" t="str">
        <f>IF(B242="","",IF('Cumulative Volumes Imperial'!$AQ$17=FALSE,L242,K242))</f>
        <v/>
      </c>
      <c r="K242" s="30"/>
      <c r="L242" s="30"/>
      <c r="M242" s="30" t="str">
        <f>IF($E$8+45+$E$9&gt;989,"FALSE",IF(B242="","",IF('Cumulative Volumes Imperial'!$AQ$17=FALSE,O242,N242)))</f>
        <v/>
      </c>
      <c r="N242" s="30"/>
      <c r="O242" s="30" t="str">
        <f>IF(B242=0,"",IF('Cumulative Volumes Imperial'!$AQ$17=FALSE,(V242*$E$4)+(W242*$E$5),N242))</f>
        <v/>
      </c>
      <c r="P242" s="30" t="str">
        <f>IF(B242=0,"",(((1/12)*'Imperial Data'!$AC$4*'Imperial Data'!$AC$5)-C242)*$H$6)</f>
        <v/>
      </c>
      <c r="Q242" s="30"/>
      <c r="R242" s="30" t="str">
        <f>IF(B242=0,"",(((1/12)*'Imperial Data'!$AC$5*'Imperial Data'!$AC$7)-D242)*$H$6)</f>
        <v/>
      </c>
      <c r="S242" s="30"/>
      <c r="T242" s="30"/>
      <c r="U242" s="30"/>
      <c r="V242" s="30"/>
      <c r="W242" s="30" t="str">
        <f t="shared" si="63"/>
        <v/>
      </c>
      <c r="X242" s="31"/>
      <c r="Y242" s="30" t="str">
        <f t="shared" si="62"/>
        <v/>
      </c>
    </row>
    <row r="243" spans="2:25" x14ac:dyDescent="0.2">
      <c r="B243" s="34"/>
      <c r="C243" s="30" t="str">
        <f>IF(B243=0,"",IF('Imperial Data'!AG232&gt;=1, INDEX(Imperial_Incremental[], MATCH('Imperial Data'!AG232, Imperial_Incremental[Height], 1), MATCH('Cumulative Volumes Imperial'!$F$4, Imperial_Incremental[#Headers], 0)), 0))</f>
        <v/>
      </c>
      <c r="D243" s="30" t="str">
        <f>IF(B243=0,"",IF('Imperial Data'!AG232&gt;=1, INDEX(Imperial_Incremental[], MATCH('Imperial Data'!AG232, Imperial_Incremental[Height], 1), MATCH('Cumulative Volumes Imperial'!$F$4 &amp; "EC", Imperial_Incremental[#Headers], 0)), 0))</f>
        <v/>
      </c>
      <c r="E243" s="30"/>
      <c r="F243" s="30"/>
      <c r="G243" s="30" t="str">
        <f>IF(B243=0,"",IF('Cumulative Volumes Imperial'!$AQ$17=FALSE,I243,H243))</f>
        <v/>
      </c>
      <c r="H243" s="30"/>
      <c r="I243" s="30"/>
      <c r="J243" s="30" t="str">
        <f>IF(B243="","",IF('Cumulative Volumes Imperial'!$AQ$17=FALSE,L243,K243))</f>
        <v/>
      </c>
      <c r="K243" s="30"/>
      <c r="L243" s="30"/>
      <c r="M243" s="30" t="str">
        <f>IF($E$8+45+$E$9&gt;989,"FALSE",IF(B243="","",IF('Cumulative Volumes Imperial'!$AQ$17=FALSE,O243,N243)))</f>
        <v/>
      </c>
      <c r="N243" s="30"/>
      <c r="O243" s="30" t="str">
        <f>IF(B243=0,"",IF('Cumulative Volumes Imperial'!$AQ$17=FALSE,(V243*$E$4)+(W243*$E$5),N243))</f>
        <v/>
      </c>
      <c r="P243" s="30" t="str">
        <f>IF(B243=0,"",(((1/12)*'Imperial Data'!$AC$4*'Imperial Data'!$AC$5)-C243)*$H$6)</f>
        <v/>
      </c>
      <c r="Q243" s="30"/>
      <c r="R243" s="30" t="str">
        <f>IF(B243=0,"",(((1/12)*'Imperial Data'!$AC$5*'Imperial Data'!$AC$7)-D243)*$H$6)</f>
        <v/>
      </c>
      <c r="S243" s="30"/>
      <c r="T243" s="30"/>
      <c r="U243" s="30"/>
      <c r="V243" s="30"/>
      <c r="W243" s="30" t="str">
        <f t="shared" si="63"/>
        <v/>
      </c>
      <c r="X243" s="31"/>
      <c r="Y243" s="30" t="str">
        <f t="shared" si="62"/>
        <v/>
      </c>
    </row>
    <row r="244" spans="2:25" x14ac:dyDescent="0.2">
      <c r="B244" s="34"/>
      <c r="C244" s="30" t="str">
        <f>IF(B244=0,"",IF('Imperial Data'!AG233&gt;=1, INDEX(Imperial_Incremental[], MATCH('Imperial Data'!AG233, Imperial_Incremental[Height], 1), MATCH('Cumulative Volumes Imperial'!$F$4, Imperial_Incremental[#Headers], 0)), 0))</f>
        <v/>
      </c>
      <c r="D244" s="30" t="str">
        <f>IF(B244=0,"",IF('Imperial Data'!AG233&gt;=1, INDEX(Imperial_Incremental[], MATCH('Imperial Data'!AG233, Imperial_Incremental[Height], 1), MATCH('Cumulative Volumes Imperial'!$F$4 &amp; "EC", Imperial_Incremental[#Headers], 0)), 0))</f>
        <v/>
      </c>
      <c r="E244" s="30"/>
      <c r="F244" s="30"/>
      <c r="G244" s="30" t="str">
        <f>IF(B244=0,"",IF('Cumulative Volumes Imperial'!$AQ$17=FALSE,I244,H244))</f>
        <v/>
      </c>
      <c r="H244" s="30"/>
      <c r="I244" s="30"/>
      <c r="J244" s="30" t="str">
        <f>IF(B244="","",IF('Cumulative Volumes Imperial'!$AQ$17=FALSE,L244,K244))</f>
        <v/>
      </c>
      <c r="K244" s="30"/>
      <c r="L244" s="30"/>
      <c r="M244" s="30" t="str">
        <f>IF($E$8+45+$E$9&gt;989,"FALSE",IF(B244="","",IF('Cumulative Volumes Imperial'!$AQ$17=FALSE,O244,N244)))</f>
        <v/>
      </c>
      <c r="N244" s="30"/>
      <c r="O244" s="30" t="str">
        <f>IF(B244=0,"",IF('Cumulative Volumes Imperial'!$AQ$17=FALSE,(V244*$E$4)+(W244*$E$5),N244))</f>
        <v/>
      </c>
      <c r="P244" s="30" t="str">
        <f>IF(B244=0,"",(((1/12)*'Imperial Data'!$AC$4*'Imperial Data'!$AC$5)-C244)*$H$6)</f>
        <v/>
      </c>
      <c r="Q244" s="30"/>
      <c r="R244" s="30" t="str">
        <f>IF(B244=0,"",(((1/12)*'Imperial Data'!$AC$5*'Imperial Data'!$AC$7)-D244)*$H$6)</f>
        <v/>
      </c>
      <c r="S244" s="30"/>
      <c r="T244" s="30"/>
      <c r="U244" s="30"/>
      <c r="V244" s="30"/>
      <c r="W244" s="30" t="str">
        <f t="shared" si="63"/>
        <v/>
      </c>
      <c r="X244" s="31"/>
      <c r="Y244" s="30" t="str">
        <f t="shared" si="62"/>
        <v/>
      </c>
    </row>
    <row r="245" spans="2:25" x14ac:dyDescent="0.2">
      <c r="B245" s="34"/>
      <c r="C245" s="30" t="str">
        <f>IF(B245=0,"",IF('Imperial Data'!AG234&gt;=1, INDEX(Imperial_Incremental[], MATCH('Imperial Data'!AG234, Imperial_Incremental[Height], 1), MATCH('Cumulative Volumes Imperial'!$F$4, Imperial_Incremental[#Headers], 0)), 0))</f>
        <v/>
      </c>
      <c r="D245" s="30" t="str">
        <f>IF(B245=0,"",IF('Imperial Data'!AG234&gt;=1, INDEX(Imperial_Incremental[], MATCH('Imperial Data'!AG234, Imperial_Incremental[Height], 1), MATCH('Cumulative Volumes Imperial'!$F$4 &amp; "EC", Imperial_Incremental[#Headers], 0)), 0))</f>
        <v/>
      </c>
      <c r="E245" s="30"/>
      <c r="F245" s="30"/>
      <c r="G245" s="30" t="str">
        <f>IF(B245=0,"",IF('Cumulative Volumes Imperial'!$AQ$17=FALSE,I245,H245))</f>
        <v/>
      </c>
      <c r="H245" s="30"/>
      <c r="I245" s="30"/>
      <c r="J245" s="30" t="str">
        <f>IF(B245="","",IF('Cumulative Volumes Imperial'!$AQ$17=FALSE,L245,K245))</f>
        <v/>
      </c>
      <c r="K245" s="30"/>
      <c r="L245" s="30"/>
      <c r="M245" s="30" t="str">
        <f>IF($E$8+45+$E$9&gt;989,"FALSE",IF(B245="","",IF('Cumulative Volumes Imperial'!$AQ$17=FALSE,O245,N245)))</f>
        <v/>
      </c>
      <c r="N245" s="30"/>
      <c r="O245" s="30" t="str">
        <f>IF(B245=0,"",IF('Cumulative Volumes Imperial'!$AQ$17=FALSE,(V245*$E$4)+(W245*$E$5),N245))</f>
        <v/>
      </c>
      <c r="P245" s="30" t="str">
        <f>IF(B245=0,"",(((1/12)*'Imperial Data'!$AC$4*'Imperial Data'!$AC$5)-C245)*$H$6)</f>
        <v/>
      </c>
      <c r="Q245" s="30"/>
      <c r="R245" s="30" t="str">
        <f>IF(B245=0,"",(((1/12)*'Imperial Data'!$AC$5*'Imperial Data'!$AC$7)-D245)*$H$6)</f>
        <v/>
      </c>
      <c r="S245" s="30"/>
      <c r="T245" s="30"/>
      <c r="U245" s="30"/>
      <c r="V245" s="30"/>
      <c r="W245" s="30" t="str">
        <f t="shared" si="63"/>
        <v/>
      </c>
      <c r="X245" s="31"/>
      <c r="Y245" s="30" t="str">
        <f t="shared" si="62"/>
        <v/>
      </c>
    </row>
    <row r="246" spans="2:25" x14ac:dyDescent="0.2">
      <c r="B246" s="34"/>
      <c r="C246" s="30" t="str">
        <f>IF(B246=0,"",IF('Imperial Data'!AG235&gt;=1, INDEX(Imperial_Incremental[], MATCH('Imperial Data'!AG235, Imperial_Incremental[Height], 1), MATCH('Cumulative Volumes Imperial'!$F$4, Imperial_Incremental[#Headers], 0)), 0))</f>
        <v/>
      </c>
      <c r="D246" s="30" t="str">
        <f>IF(B246=0,"",IF('Imperial Data'!AG235&gt;=1, INDEX(Imperial_Incremental[], MATCH('Imperial Data'!AG235, Imperial_Incremental[Height], 1), MATCH('Cumulative Volumes Imperial'!$F$4 &amp; "EC", Imperial_Incremental[#Headers], 0)), 0))</f>
        <v/>
      </c>
      <c r="E246" s="30"/>
      <c r="F246" s="30"/>
      <c r="G246" s="30" t="str">
        <f>IF(B246=0,"",IF('Cumulative Volumes Imperial'!$AQ$17=FALSE,I246,H246))</f>
        <v/>
      </c>
      <c r="H246" s="30"/>
      <c r="I246" s="30"/>
      <c r="J246" s="30" t="str">
        <f>IF(B246="","",IF('Cumulative Volumes Imperial'!$AQ$17=FALSE,L246,K246))</f>
        <v/>
      </c>
      <c r="K246" s="30"/>
      <c r="L246" s="30"/>
      <c r="M246" s="30" t="str">
        <f>IF($E$8+45+$E$9&gt;989,"FALSE",IF(B246="","",IF('Cumulative Volumes Imperial'!$AQ$17=FALSE,O246,N246)))</f>
        <v/>
      </c>
      <c r="N246" s="30"/>
      <c r="O246" s="30" t="str">
        <f>IF(B246=0,"",IF('Cumulative Volumes Imperial'!$AQ$17=FALSE,(V246*$E$4)+(W246*$E$5),N246))</f>
        <v/>
      </c>
      <c r="P246" s="30" t="str">
        <f>IF(B246=0,"",(((1/12)*'Imperial Data'!$AC$4*'Imperial Data'!$AC$5)-C246)*$H$6)</f>
        <v/>
      </c>
      <c r="Q246" s="30"/>
      <c r="R246" s="30" t="str">
        <f>IF(B246=0,"",(((1/12)*'Imperial Data'!$AC$5*'Imperial Data'!$AC$7)-D246)*$H$6)</f>
        <v/>
      </c>
      <c r="S246" s="30"/>
      <c r="T246" s="30"/>
      <c r="U246" s="30"/>
      <c r="V246" s="30"/>
      <c r="W246" s="30" t="str">
        <f t="shared" si="63"/>
        <v/>
      </c>
      <c r="X246" s="31"/>
      <c r="Y246" s="30" t="str">
        <f t="shared" si="62"/>
        <v/>
      </c>
    </row>
    <row r="247" spans="2:25" x14ac:dyDescent="0.2">
      <c r="B247" s="34"/>
      <c r="C247" s="30" t="str">
        <f>IF(B247=0,"",IF('Imperial Data'!AG236&gt;=1, INDEX(Imperial_Incremental[], MATCH('Imperial Data'!AG236, Imperial_Incremental[Height], 1), MATCH('Cumulative Volumes Imperial'!$F$4, Imperial_Incremental[#Headers], 0)), 0))</f>
        <v/>
      </c>
      <c r="D247" s="30" t="str">
        <f>IF(B247=0,"",IF('Imperial Data'!AG236&gt;=1, INDEX(Imperial_Incremental[], MATCH('Imperial Data'!AG236, Imperial_Incremental[Height], 1), MATCH('Cumulative Volumes Imperial'!$F$4 &amp; "EC", Imperial_Incremental[#Headers], 0)), 0))</f>
        <v/>
      </c>
      <c r="E247" s="30"/>
      <c r="F247" s="30"/>
      <c r="G247" s="30" t="str">
        <f>IF(B247=0,"",IF('Cumulative Volumes Imperial'!$AQ$17=FALSE,I247,H247))</f>
        <v/>
      </c>
      <c r="H247" s="30"/>
      <c r="I247" s="30"/>
      <c r="J247" s="30" t="str">
        <f>IF(B247="","",IF('Cumulative Volumes Imperial'!$AQ$17=FALSE,L247,K247))</f>
        <v/>
      </c>
      <c r="K247" s="30"/>
      <c r="L247" s="30"/>
      <c r="M247" s="30" t="str">
        <f>IF($E$8+45+$E$9&gt;989,"FALSE",IF(B247="","",IF('Cumulative Volumes Imperial'!$AQ$17=FALSE,O247,N247)))</f>
        <v/>
      </c>
      <c r="N247" s="30"/>
      <c r="O247" s="30" t="str">
        <f>IF(B247=0,"",IF('Cumulative Volumes Imperial'!$AQ$17=FALSE,(V247*$E$4)+(W247*$E$5),N247))</f>
        <v/>
      </c>
      <c r="P247" s="30" t="str">
        <f>IF(B247=0,"",(((1/12)*'Imperial Data'!$AC$4*'Imperial Data'!$AC$5)-C247)*$H$6)</f>
        <v/>
      </c>
      <c r="Q247" s="30"/>
      <c r="R247" s="30" t="str">
        <f>IF(B247=0,"",(((1/12)*'Imperial Data'!$AC$5*'Imperial Data'!$AC$7)-D247)*$H$6)</f>
        <v/>
      </c>
      <c r="S247" s="30"/>
      <c r="T247" s="30"/>
      <c r="U247" s="30"/>
      <c r="V247" s="30"/>
      <c r="W247" s="30" t="str">
        <f t="shared" si="63"/>
        <v/>
      </c>
      <c r="X247" s="31"/>
      <c r="Y247" s="30" t="str">
        <f t="shared" si="62"/>
        <v/>
      </c>
    </row>
    <row r="248" spans="2:25" x14ac:dyDescent="0.2">
      <c r="B248" s="34"/>
      <c r="C248" s="30" t="str">
        <f>IF(B248=0,"",IF('Imperial Data'!AG237&gt;=1, INDEX(Imperial_Incremental[], MATCH('Imperial Data'!AG237, Imperial_Incremental[Height], 1), MATCH('Cumulative Volumes Imperial'!$F$4, Imperial_Incremental[#Headers], 0)), 0))</f>
        <v/>
      </c>
      <c r="D248" s="30" t="str">
        <f>IF(B248=0,"",IF('Imperial Data'!AG237&gt;=1, INDEX(Imperial_Incremental[], MATCH('Imperial Data'!AG237, Imperial_Incremental[Height], 1), MATCH('Cumulative Volumes Imperial'!$F$4 &amp; "EC", Imperial_Incremental[#Headers], 0)), 0))</f>
        <v/>
      </c>
      <c r="E248" s="30"/>
      <c r="F248" s="30"/>
      <c r="G248" s="30" t="str">
        <f>IF(B248=0,"",IF('Cumulative Volumes Imperial'!$AQ$17=FALSE,I248,H248))</f>
        <v/>
      </c>
      <c r="H248" s="30"/>
      <c r="I248" s="30"/>
      <c r="J248" s="30" t="str">
        <f>IF(B248="","",IF('Cumulative Volumes Imperial'!$AQ$17=FALSE,L248,K248))</f>
        <v/>
      </c>
      <c r="K248" s="30"/>
      <c r="L248" s="30"/>
      <c r="M248" s="30" t="str">
        <f>IF($E$8+45+$E$9&gt;989,"FALSE",IF(B248="","",IF('Cumulative Volumes Imperial'!$AQ$17=FALSE,O248,N248)))</f>
        <v/>
      </c>
      <c r="N248" s="30"/>
      <c r="O248" s="30" t="str">
        <f>IF(B248=0,"",IF('Cumulative Volumes Imperial'!$AQ$17=FALSE,(V248*$E$4)+(W248*$E$5),N248))</f>
        <v/>
      </c>
      <c r="P248" s="30" t="str">
        <f>IF(B248=0,"",(((1/12)*'Imperial Data'!$AC$4*'Imperial Data'!$AC$5)-C248)*$H$6)</f>
        <v/>
      </c>
      <c r="Q248" s="30"/>
      <c r="R248" s="30" t="str">
        <f>IF(B248=0,"",(((1/12)*'Imperial Data'!$AC$5*'Imperial Data'!$AC$7)-D248)*$H$6)</f>
        <v/>
      </c>
      <c r="S248" s="30"/>
      <c r="T248" s="30"/>
      <c r="U248" s="30"/>
      <c r="V248" s="30"/>
      <c r="W248" s="30" t="str">
        <f t="shared" si="63"/>
        <v/>
      </c>
      <c r="X248" s="31"/>
      <c r="Y248" s="30" t="str">
        <f t="shared" si="62"/>
        <v/>
      </c>
    </row>
    <row r="249" spans="2:25" x14ac:dyDescent="0.2">
      <c r="B249" s="34"/>
      <c r="C249" s="30" t="str">
        <f>IF(B249=0,"",IF('Imperial Data'!AG238&gt;=1, INDEX(Imperial_Incremental[], MATCH('Imperial Data'!AG238, Imperial_Incremental[Height], 1), MATCH('Cumulative Volumes Imperial'!$F$4, Imperial_Incremental[#Headers], 0)), 0))</f>
        <v/>
      </c>
      <c r="D249" s="30" t="str">
        <f>IF(B249=0,"",IF('Imperial Data'!AG238&gt;=1, INDEX(Imperial_Incremental[], MATCH('Imperial Data'!AG238, Imperial_Incremental[Height], 1), MATCH('Cumulative Volumes Imperial'!$F$4 &amp; "EC", Imperial_Incremental[#Headers], 0)), 0))</f>
        <v/>
      </c>
      <c r="E249" s="30"/>
      <c r="F249" s="30"/>
      <c r="G249" s="30" t="str">
        <f>IF(B249=0,"",IF('Cumulative Volumes Imperial'!$AQ$17=FALSE,I249,H249))</f>
        <v/>
      </c>
      <c r="H249" s="30"/>
      <c r="I249" s="30"/>
      <c r="J249" s="30" t="str">
        <f>IF(B249="","",IF('Cumulative Volumes Imperial'!$AQ$17=FALSE,L249,K249))</f>
        <v/>
      </c>
      <c r="K249" s="30"/>
      <c r="L249" s="30"/>
      <c r="M249" s="30" t="str">
        <f>IF($E$8+45+$E$9&gt;989,"FALSE",IF(B249="","",IF('Cumulative Volumes Imperial'!$AQ$17=FALSE,O249,N249)))</f>
        <v/>
      </c>
      <c r="N249" s="30"/>
      <c r="O249" s="30" t="str">
        <f>IF(B249=0,"",IF('Cumulative Volumes Imperial'!$AQ$17=FALSE,(V249*$E$4)+(W249*$E$5),N249))</f>
        <v/>
      </c>
      <c r="P249" s="30" t="str">
        <f>IF(B249=0,"",(((1/12)*'Imperial Data'!$AC$4*'Imperial Data'!$AC$5)-C249)*$H$6)</f>
        <v/>
      </c>
      <c r="Q249" s="30"/>
      <c r="R249" s="30" t="str">
        <f>IF(B249=0,"",(((1/12)*'Imperial Data'!$AC$5*'Imperial Data'!$AC$7)-D249)*$H$6)</f>
        <v/>
      </c>
      <c r="S249" s="30"/>
      <c r="T249" s="30"/>
      <c r="U249" s="30"/>
      <c r="V249" s="30"/>
      <c r="W249" s="30" t="str">
        <f t="shared" si="63"/>
        <v/>
      </c>
      <c r="X249" s="31"/>
      <c r="Y249" s="30" t="str">
        <f t="shared" si="62"/>
        <v/>
      </c>
    </row>
    <row r="250" spans="2:25" x14ac:dyDescent="0.2">
      <c r="B250" s="34"/>
      <c r="C250" s="30" t="str">
        <f>IF(B250=0,"",IF('Imperial Data'!AG239&gt;=1, INDEX(Imperial_Incremental[], MATCH('Imperial Data'!AG239, Imperial_Incremental[Height], 1), MATCH('Cumulative Volumes Imperial'!$F$4, Imperial_Incremental[#Headers], 0)), 0))</f>
        <v/>
      </c>
      <c r="D250" s="30" t="str">
        <f>IF(B250=0,"",IF('Imperial Data'!AG239&gt;=1, INDEX(Imperial_Incremental[], MATCH('Imperial Data'!AG239, Imperial_Incremental[Height], 1), MATCH('Cumulative Volumes Imperial'!$F$4 &amp; "EC", Imperial_Incremental[#Headers], 0)), 0))</f>
        <v/>
      </c>
      <c r="E250" s="30"/>
      <c r="F250" s="30"/>
      <c r="G250" s="30" t="str">
        <f>IF(B250=0,"",IF('Cumulative Volumes Imperial'!$AQ$17=FALSE,I250,H250))</f>
        <v/>
      </c>
      <c r="H250" s="30"/>
      <c r="I250" s="30"/>
      <c r="J250" s="30" t="str">
        <f>IF(B250="","",IF('Cumulative Volumes Imperial'!$AQ$17=FALSE,L250,K250))</f>
        <v/>
      </c>
      <c r="K250" s="30"/>
      <c r="L250" s="30"/>
      <c r="M250" s="30" t="str">
        <f>IF($E$8+45+$E$9&gt;989,"FALSE",IF(B250="","",IF('Cumulative Volumes Imperial'!$AQ$17=FALSE,O250,N250)))</f>
        <v/>
      </c>
      <c r="N250" s="30"/>
      <c r="O250" s="30" t="str">
        <f>IF(B250=0,"",IF('Cumulative Volumes Imperial'!$AQ$17=FALSE,(V250*$E$4)+(W250*$E$5),N250))</f>
        <v/>
      </c>
      <c r="P250" s="30" t="str">
        <f>IF(B250=0,"",(((1/12)*'Imperial Data'!$AC$4*'Imperial Data'!$AC$5)-C250)*$H$6)</f>
        <v/>
      </c>
      <c r="Q250" s="30"/>
      <c r="R250" s="30" t="str">
        <f>IF(B250=0,"",(((1/12)*'Imperial Data'!$AC$5*'Imperial Data'!$AC$7)-D250)*$H$6)</f>
        <v/>
      </c>
      <c r="S250" s="30"/>
      <c r="T250" s="30"/>
      <c r="U250" s="30"/>
      <c r="V250" s="30"/>
      <c r="W250" s="30" t="str">
        <f t="shared" si="63"/>
        <v/>
      </c>
      <c r="X250" s="31"/>
      <c r="Y250" s="30" t="str">
        <f t="shared" si="62"/>
        <v/>
      </c>
    </row>
    <row r="251" spans="2:25" x14ac:dyDescent="0.2">
      <c r="B251" s="34"/>
      <c r="C251" s="30" t="str">
        <f>IF(B251=0,"",IF('Imperial Data'!AG240&gt;=1, INDEX(Imperial_Incremental[], MATCH('Imperial Data'!AG240, Imperial_Incremental[Height], 1), MATCH('Cumulative Volumes Imperial'!$F$4, Imperial_Incremental[#Headers], 0)), 0))</f>
        <v/>
      </c>
      <c r="D251" s="30" t="str">
        <f>IF(B251=0,"",IF('Imperial Data'!AG240&gt;=1, INDEX(Imperial_Incremental[], MATCH('Imperial Data'!AG240, Imperial_Incremental[Height], 1), MATCH('Cumulative Volumes Imperial'!$F$4 &amp; "EC", Imperial_Incremental[#Headers], 0)), 0))</f>
        <v/>
      </c>
      <c r="E251" s="30"/>
      <c r="F251" s="30"/>
      <c r="G251" s="30" t="str">
        <f>IF(B251=0,"",IF('Cumulative Volumes Imperial'!$AQ$17=FALSE,I251,H251))</f>
        <v/>
      </c>
      <c r="H251" s="30"/>
      <c r="I251" s="30"/>
      <c r="J251" s="30" t="str">
        <f>IF(B251="","",IF('Cumulative Volumes Imperial'!$AQ$17=FALSE,L251,K251))</f>
        <v/>
      </c>
      <c r="K251" s="30"/>
      <c r="L251" s="30"/>
      <c r="M251" s="30" t="str">
        <f>IF($E$8+45+$E$9&gt;989,"FALSE",IF(B251="","",IF('Cumulative Volumes Imperial'!$AQ$17=FALSE,O251,N251)))</f>
        <v/>
      </c>
      <c r="N251" s="30"/>
      <c r="O251" s="30" t="str">
        <f>IF(B251=0,"",IF('Cumulative Volumes Imperial'!$AQ$17=FALSE,(V251*$E$4)+(W251*$E$5),N251))</f>
        <v/>
      </c>
      <c r="P251" s="30" t="str">
        <f>IF(B251=0,"",(((1/12)*'Imperial Data'!$AC$4*'Imperial Data'!$AC$5)-C251)*$H$6)</f>
        <v/>
      </c>
      <c r="Q251" s="30"/>
      <c r="R251" s="30" t="str">
        <f>IF(B251=0,"",(((1/12)*'Imperial Data'!$AC$5*'Imperial Data'!$AC$7)-D251)*$H$6)</f>
        <v/>
      </c>
      <c r="S251" s="30"/>
      <c r="T251" s="30"/>
      <c r="U251" s="30"/>
      <c r="V251" s="30"/>
      <c r="W251" s="30" t="str">
        <f t="shared" si="63"/>
        <v/>
      </c>
      <c r="X251" s="31"/>
      <c r="Y251" s="30" t="str">
        <f t="shared" si="62"/>
        <v/>
      </c>
    </row>
    <row r="252" spans="2:25" x14ac:dyDescent="0.2">
      <c r="B252" s="34"/>
      <c r="C252" s="30" t="str">
        <f>IF(B252=0,"",IF('Imperial Data'!AG241&gt;=1, INDEX(Imperial_Incremental[], MATCH('Imperial Data'!AG241, Imperial_Incremental[Height], 1), MATCH('Cumulative Volumes Imperial'!$F$4, Imperial_Incremental[#Headers], 0)), 0))</f>
        <v/>
      </c>
      <c r="D252" s="30" t="str">
        <f>IF(B252=0,"",IF('Imperial Data'!AG241&gt;=1, INDEX(Imperial_Incremental[], MATCH('Imperial Data'!AG241, Imperial_Incremental[Height], 1), MATCH('Cumulative Volumes Imperial'!$F$4 &amp; "EC", Imperial_Incremental[#Headers], 0)), 0))</f>
        <v/>
      </c>
      <c r="E252" s="30"/>
      <c r="F252" s="30"/>
      <c r="G252" s="30" t="str">
        <f>IF(B252=0,"",IF('Cumulative Volumes Imperial'!$AQ$17=FALSE,I252,H252))</f>
        <v/>
      </c>
      <c r="H252" s="30"/>
      <c r="I252" s="30"/>
      <c r="J252" s="30" t="str">
        <f>IF(B252="","",IF('Cumulative Volumes Imperial'!$AQ$17=FALSE,L252,K252))</f>
        <v/>
      </c>
      <c r="K252" s="30"/>
      <c r="L252" s="30"/>
      <c r="M252" s="30" t="str">
        <f>IF($E$8+45+$E$9&gt;989,"FALSE",IF(B252="","",IF('Cumulative Volumes Imperial'!$AQ$17=FALSE,O252,N252)))</f>
        <v/>
      </c>
      <c r="N252" s="30"/>
      <c r="O252" s="30" t="str">
        <f>IF(B252=0,"",IF('Cumulative Volumes Imperial'!$AQ$17=FALSE,(V252*$E$4)+(W252*$E$5),N252))</f>
        <v/>
      </c>
      <c r="P252" s="30" t="str">
        <f>IF(B252=0,"",(((1/12)*'Imperial Data'!$AC$4*'Imperial Data'!$AC$5)-C252)*$H$6)</f>
        <v/>
      </c>
      <c r="Q252" s="30"/>
      <c r="R252" s="30" t="str">
        <f>IF(B252=0,"",(((1/12)*'Imperial Data'!$AC$5*'Imperial Data'!$AC$7)-D252)*$H$6)</f>
        <v/>
      </c>
      <c r="S252" s="30"/>
      <c r="T252" s="30"/>
      <c r="U252" s="30"/>
      <c r="V252" s="30"/>
      <c r="W252" s="30" t="str">
        <f t="shared" si="63"/>
        <v/>
      </c>
      <c r="X252" s="31"/>
      <c r="Y252" s="30" t="str">
        <f t="shared" si="62"/>
        <v/>
      </c>
    </row>
    <row r="253" spans="2:25" x14ac:dyDescent="0.2">
      <c r="B253" s="34"/>
      <c r="C253" s="30" t="str">
        <f>IF(B253=0,"",IF('Imperial Data'!AG242&gt;=1, INDEX(Imperial_Incremental[], MATCH('Imperial Data'!AG242, Imperial_Incremental[Height], 1), MATCH('Cumulative Volumes Imperial'!$F$4, Imperial_Incremental[#Headers], 0)), 0))</f>
        <v/>
      </c>
      <c r="D253" s="30" t="str">
        <f>IF(B253=0,"",IF('Imperial Data'!AG242&gt;=1, INDEX(Imperial_Incremental[], MATCH('Imperial Data'!AG242, Imperial_Incremental[Height], 1), MATCH('Cumulative Volumes Imperial'!$F$4 &amp; "EC", Imperial_Incremental[#Headers], 0)), 0))</f>
        <v/>
      </c>
      <c r="E253" s="30"/>
      <c r="F253" s="30"/>
      <c r="G253" s="30" t="str">
        <f>IF(B253=0,"",IF('Cumulative Volumes Imperial'!$AQ$17=FALSE,I253,H253))</f>
        <v/>
      </c>
      <c r="H253" s="30"/>
      <c r="I253" s="30"/>
      <c r="J253" s="30" t="str">
        <f>IF(B253="","",IF('Cumulative Volumes Imperial'!$AQ$17=FALSE,L253,K253))</f>
        <v/>
      </c>
      <c r="K253" s="30"/>
      <c r="L253" s="30"/>
      <c r="M253" s="30" t="str">
        <f>IF($E$8+45+$E$9&gt;989,"FALSE",IF(B253="","",IF('Cumulative Volumes Imperial'!$AQ$17=FALSE,O253,N253)))</f>
        <v/>
      </c>
      <c r="N253" s="30"/>
      <c r="O253" s="30" t="str">
        <f>IF(B253=0,"",IF('Cumulative Volumes Imperial'!$AQ$17=FALSE,(V253*$E$4)+(W253*$E$5),N253))</f>
        <v/>
      </c>
      <c r="P253" s="30" t="str">
        <f>IF(B253=0,"",(((1/12)*'Imperial Data'!$AC$4*'Imperial Data'!$AC$5)-C253)*$H$6)</f>
        <v/>
      </c>
      <c r="Q253" s="30"/>
      <c r="R253" s="30" t="str">
        <f>IF(B253=0,"",(((1/12)*'Imperial Data'!$AC$5*'Imperial Data'!$AC$7)-D253)*$H$6)</f>
        <v/>
      </c>
      <c r="S253" s="30"/>
      <c r="T253" s="30"/>
      <c r="U253" s="30"/>
      <c r="V253" s="30"/>
      <c r="W253" s="30" t="str">
        <f t="shared" si="63"/>
        <v/>
      </c>
      <c r="X253" s="31"/>
      <c r="Y253" s="30" t="str">
        <f t="shared" si="62"/>
        <v/>
      </c>
    </row>
    <row r="254" spans="2:25" x14ac:dyDescent="0.2">
      <c r="B254" s="34"/>
      <c r="C254" s="30" t="str">
        <f>IF(B254=0,"",IF('Imperial Data'!AG243&gt;=1, INDEX(Imperial_Incremental[], MATCH('Imperial Data'!AG243, Imperial_Incremental[Height], 1), MATCH('Cumulative Volumes Imperial'!$F$4, Imperial_Incremental[#Headers], 0)), 0))</f>
        <v/>
      </c>
      <c r="D254" s="30" t="str">
        <f>IF(B254=0,"",IF('Imperial Data'!AG243&gt;=1, INDEX(Imperial_Incremental[], MATCH('Imperial Data'!AG243, Imperial_Incremental[Height], 1), MATCH('Cumulative Volumes Imperial'!$F$4 &amp; "EC", Imperial_Incremental[#Headers], 0)), 0))</f>
        <v/>
      </c>
      <c r="E254" s="30"/>
      <c r="F254" s="30"/>
      <c r="G254" s="30" t="str">
        <f>IF(B254=0,"",IF('Cumulative Volumes Imperial'!$AQ$17=FALSE,I254,H254))</f>
        <v/>
      </c>
      <c r="H254" s="30"/>
      <c r="I254" s="30"/>
      <c r="J254" s="30" t="str">
        <f>IF(B254="","",IF('Cumulative Volumes Imperial'!$AQ$17=FALSE,L254,K254))</f>
        <v/>
      </c>
      <c r="K254" s="30"/>
      <c r="L254" s="30"/>
      <c r="M254" s="30" t="str">
        <f>IF($E$8+45+$E$9&gt;989,"FALSE",IF(B254="","",IF('Cumulative Volumes Imperial'!$AQ$17=FALSE,O254,N254)))</f>
        <v/>
      </c>
      <c r="N254" s="30"/>
      <c r="O254" s="30" t="str">
        <f>IF(B254=0,"",IF('Cumulative Volumes Imperial'!$AQ$17=FALSE,(V254*$E$4)+(W254*$E$5),N254))</f>
        <v/>
      </c>
      <c r="P254" s="30" t="str">
        <f>IF(B254=0,"",(((1/12)*'Imperial Data'!$AC$4*'Imperial Data'!$AC$5)-C254)*$H$6)</f>
        <v/>
      </c>
      <c r="Q254" s="30"/>
      <c r="R254" s="30" t="str">
        <f>IF(B254=0,"",(((1/12)*'Imperial Data'!$AC$5*'Imperial Data'!$AC$7)-D254)*$H$6)</f>
        <v/>
      </c>
      <c r="S254" s="30"/>
      <c r="T254" s="30"/>
      <c r="U254" s="30"/>
      <c r="V254" s="30"/>
      <c r="W254" s="30" t="str">
        <f t="shared" si="63"/>
        <v/>
      </c>
      <c r="X254" s="31"/>
      <c r="Y254" s="30" t="str">
        <f t="shared" si="62"/>
        <v/>
      </c>
    </row>
    <row r="255" spans="2:25" x14ac:dyDescent="0.2">
      <c r="B255" s="34"/>
      <c r="C255" s="30" t="str">
        <f>IF(B255=0,"",IF('Imperial Data'!AG244&gt;=1, INDEX(Imperial_Incremental[], MATCH('Imperial Data'!AG244, Imperial_Incremental[Height], 1), MATCH('Cumulative Volumes Imperial'!$F$4, Imperial_Incremental[#Headers], 0)), 0))</f>
        <v/>
      </c>
      <c r="D255" s="30" t="str">
        <f>IF(B255=0,"",IF('Imperial Data'!AG244&gt;=1, INDEX(Imperial_Incremental[], MATCH('Imperial Data'!AG244, Imperial_Incremental[Height], 1), MATCH('Cumulative Volumes Imperial'!$F$4 &amp; "EC", Imperial_Incremental[#Headers], 0)), 0))</f>
        <v/>
      </c>
      <c r="E255" s="30"/>
      <c r="F255" s="30"/>
      <c r="G255" s="30" t="str">
        <f>IF(B255=0,"",IF('Cumulative Volumes Imperial'!$AQ$17=FALSE,I255,H255))</f>
        <v/>
      </c>
      <c r="H255" s="30"/>
      <c r="I255" s="30"/>
      <c r="J255" s="30" t="str">
        <f>IF(B255="","",IF('Cumulative Volumes Imperial'!$AQ$17=FALSE,L255,K255))</f>
        <v/>
      </c>
      <c r="K255" s="30"/>
      <c r="L255" s="30"/>
      <c r="M255" s="30" t="str">
        <f>IF($E$8+45+$E$9&gt;989,"FALSE",IF(B255="","",IF('Cumulative Volumes Imperial'!$AQ$17=FALSE,O255,N255)))</f>
        <v/>
      </c>
      <c r="N255" s="30"/>
      <c r="O255" s="30" t="str">
        <f>IF(B255=0,"",IF('Cumulative Volumes Imperial'!$AQ$17=FALSE,(V255*$E$4)+(W255*$E$5),N255))</f>
        <v/>
      </c>
      <c r="P255" s="30" t="str">
        <f>IF(B255=0,"",(((1/12)*'Imperial Data'!$AC$4*'Imperial Data'!$AC$5)-C255)*$H$6)</f>
        <v/>
      </c>
      <c r="Q255" s="30"/>
      <c r="R255" s="30" t="str">
        <f>IF(B255=0,"",(((1/12)*'Imperial Data'!$AC$5*'Imperial Data'!$AC$7)-D255)*$H$6)</f>
        <v/>
      </c>
      <c r="S255" s="30"/>
      <c r="T255" s="30"/>
      <c r="U255" s="30"/>
      <c r="V255" s="30"/>
      <c r="W255" s="30" t="str">
        <f t="shared" si="63"/>
        <v/>
      </c>
      <c r="X255" s="31"/>
      <c r="Y255" s="30" t="str">
        <f t="shared" si="62"/>
        <v/>
      </c>
    </row>
    <row r="256" spans="2:25" x14ac:dyDescent="0.2">
      <c r="B256" s="34"/>
      <c r="C256" s="30" t="str">
        <f>IF(B256=0,"",IF('Imperial Data'!AG245&gt;=1, INDEX(Imperial_Incremental[], MATCH('Imperial Data'!AG245, Imperial_Incremental[Height], 1), MATCH('Cumulative Volumes Imperial'!$F$4, Imperial_Incremental[#Headers], 0)), 0))</f>
        <v/>
      </c>
      <c r="D256" s="30" t="str">
        <f>IF(B256=0,"",IF('Imperial Data'!AG245&gt;=1, INDEX(Imperial_Incremental[], MATCH('Imperial Data'!AG245, Imperial_Incremental[Height], 1), MATCH('Cumulative Volumes Imperial'!$F$4 &amp; "EC", Imperial_Incremental[#Headers], 0)), 0))</f>
        <v/>
      </c>
      <c r="E256" s="30"/>
      <c r="F256" s="30"/>
      <c r="G256" s="30" t="str">
        <f>IF(B256=0,"",IF('Cumulative Volumes Imperial'!$AQ$17=FALSE,I256,H256))</f>
        <v/>
      </c>
      <c r="H256" s="30"/>
      <c r="I256" s="30"/>
      <c r="J256" s="30" t="str">
        <f>IF(B256="","",IF('Cumulative Volumes Imperial'!$AQ$17=FALSE,L256,K256))</f>
        <v/>
      </c>
      <c r="K256" s="30"/>
      <c r="L256" s="30"/>
      <c r="M256" s="30" t="str">
        <f>IF($E$8+45+$E$9&gt;989,"FALSE",IF(B256="","",IF('Cumulative Volumes Imperial'!$AQ$17=FALSE,O256,N256)))</f>
        <v/>
      </c>
      <c r="N256" s="30"/>
      <c r="O256" s="30" t="str">
        <f>IF(B256=0,"",IF('Cumulative Volumes Imperial'!$AQ$17=FALSE,(V256*$E$4)+(W256*$E$5),N256))</f>
        <v/>
      </c>
      <c r="P256" s="30" t="str">
        <f>IF(B256=0,"",(((1/12)*'Imperial Data'!$AC$4*'Imperial Data'!$AC$5)-C256)*$H$6)</f>
        <v/>
      </c>
      <c r="Q256" s="30"/>
      <c r="R256" s="30" t="str">
        <f>IF(B256=0,"",(((1/12)*'Imperial Data'!$AC$5*'Imperial Data'!$AC$7)-D256)*$H$6)</f>
        <v/>
      </c>
      <c r="S256" s="30"/>
      <c r="T256" s="30"/>
      <c r="U256" s="30"/>
      <c r="V256" s="30"/>
      <c r="W256" s="30" t="str">
        <f t="shared" si="63"/>
        <v/>
      </c>
      <c r="X256" s="31"/>
      <c r="Y256" s="30" t="str">
        <f t="shared" si="62"/>
        <v/>
      </c>
    </row>
    <row r="257" spans="2:25" x14ac:dyDescent="0.2">
      <c r="B257" s="34"/>
      <c r="C257" s="30" t="str">
        <f>IF(B257=0,"",IF('Imperial Data'!AG246&gt;=1, INDEX(Imperial_Incremental[], MATCH('Imperial Data'!AG246, Imperial_Incremental[Height], 1), MATCH('Cumulative Volumes Imperial'!$F$4, Imperial_Incremental[#Headers], 0)), 0))</f>
        <v/>
      </c>
      <c r="D257" s="30" t="str">
        <f>IF(B257=0,"",IF('Imperial Data'!AG246&gt;=1, INDEX(Imperial_Incremental[], MATCH('Imperial Data'!AG246, Imperial_Incremental[Height], 1), MATCH('Cumulative Volumes Imperial'!$F$4 &amp; "EC", Imperial_Incremental[#Headers], 0)), 0))</f>
        <v/>
      </c>
      <c r="E257" s="30"/>
      <c r="F257" s="30"/>
      <c r="G257" s="30" t="str">
        <f>IF(B257=0,"",IF('Cumulative Volumes Imperial'!$AQ$17=FALSE,I257,H257))</f>
        <v/>
      </c>
      <c r="H257" s="30"/>
      <c r="I257" s="30"/>
      <c r="J257" s="30" t="str">
        <f>IF(B257="","",IF('Cumulative Volumes Imperial'!$AQ$17=FALSE,L257,K257))</f>
        <v/>
      </c>
      <c r="K257" s="30"/>
      <c r="L257" s="30"/>
      <c r="M257" s="30" t="str">
        <f>IF($E$8+45+$E$9&gt;989,"FALSE",IF(B257="","",IF('Cumulative Volumes Imperial'!$AQ$17=FALSE,O257,N257)))</f>
        <v/>
      </c>
      <c r="N257" s="30"/>
      <c r="O257" s="30" t="str">
        <f>IF(B257=0,"",IF('Cumulative Volumes Imperial'!$AQ$17=FALSE,(V257*$E$4)+(W257*$E$5),N257))</f>
        <v/>
      </c>
      <c r="P257" s="30" t="str">
        <f>IF(B257=0,"",(((1/12)*'Imperial Data'!$AC$4*'Imperial Data'!$AC$5)-C257)*$H$6)</f>
        <v/>
      </c>
      <c r="Q257" s="30"/>
      <c r="R257" s="30" t="str">
        <f>IF(B257=0,"",(((1/12)*'Imperial Data'!$AC$5*'Imperial Data'!$AC$7)-D257)*$H$6)</f>
        <v/>
      </c>
      <c r="S257" s="30"/>
      <c r="T257" s="30"/>
      <c r="U257" s="30"/>
      <c r="V257" s="30"/>
      <c r="W257" s="30" t="str">
        <f t="shared" si="63"/>
        <v/>
      </c>
      <c r="X257" s="31"/>
      <c r="Y257" s="30" t="str">
        <f t="shared" si="62"/>
        <v/>
      </c>
    </row>
    <row r="258" spans="2:25" x14ac:dyDescent="0.2">
      <c r="B258" s="34"/>
      <c r="C258" s="30" t="str">
        <f>IF(B258=0,"",IF('Imperial Data'!AG247&gt;=1, INDEX(Imperial_Incremental[], MATCH('Imperial Data'!AG247, Imperial_Incremental[Height], 1), MATCH('Cumulative Volumes Imperial'!$F$4, Imperial_Incremental[#Headers], 0)), 0))</f>
        <v/>
      </c>
      <c r="D258" s="30" t="str">
        <f>IF(B258=0,"",IF('Imperial Data'!AG247&gt;=1, INDEX(Imperial_Incremental[], MATCH('Imperial Data'!AG247, Imperial_Incremental[Height], 1), MATCH('Cumulative Volumes Imperial'!$F$4 &amp; "EC", Imperial_Incremental[#Headers], 0)), 0))</f>
        <v/>
      </c>
      <c r="E258" s="30"/>
      <c r="F258" s="30"/>
      <c r="G258" s="30" t="str">
        <f>IF(B258=0,"",IF('Cumulative Volumes Imperial'!$AQ$17=FALSE,I258,H258))</f>
        <v/>
      </c>
      <c r="H258" s="30"/>
      <c r="I258" s="30"/>
      <c r="J258" s="30" t="str">
        <f>IF(B258="","",IF('Cumulative Volumes Imperial'!$AQ$17=FALSE,L258,K258))</f>
        <v/>
      </c>
      <c r="K258" s="30"/>
      <c r="L258" s="30"/>
      <c r="M258" s="30" t="str">
        <f>IF($E$8+45+$E$9&gt;989,"FALSE",IF(B258="","",IF('Cumulative Volumes Imperial'!$AQ$17=FALSE,O258,N258)))</f>
        <v/>
      </c>
      <c r="N258" s="30"/>
      <c r="O258" s="30" t="str">
        <f>IF(B258=0,"",IF('Cumulative Volumes Imperial'!$AQ$17=FALSE,(V258*$E$4)+(W258*$E$5),N258))</f>
        <v/>
      </c>
      <c r="P258" s="30" t="str">
        <f>IF(B258=0,"",(((1/12)*'Imperial Data'!$AC$4*'Imperial Data'!$AC$5)-C258)*$H$6)</f>
        <v/>
      </c>
      <c r="Q258" s="30"/>
      <c r="R258" s="30" t="str">
        <f>IF(B258=0,"",(((1/12)*'Imperial Data'!$AC$5*'Imperial Data'!$AC$7)-D258)*$H$6)</f>
        <v/>
      </c>
      <c r="S258" s="30"/>
      <c r="T258" s="30"/>
      <c r="U258" s="30"/>
      <c r="V258" s="30"/>
      <c r="W258" s="30" t="str">
        <f t="shared" si="63"/>
        <v/>
      </c>
      <c r="X258" s="31"/>
      <c r="Y258" s="30" t="str">
        <f t="shared" si="62"/>
        <v/>
      </c>
    </row>
    <row r="259" spans="2:25" x14ac:dyDescent="0.2">
      <c r="B259" s="34"/>
      <c r="C259" s="30" t="str">
        <f>IF(B259=0,"",IF('Imperial Data'!AG248&gt;=1, INDEX(Imperial_Incremental[], MATCH('Imperial Data'!AG248, Imperial_Incremental[Height], 1), MATCH('Cumulative Volumes Imperial'!$F$4, Imperial_Incremental[#Headers], 0)), 0))</f>
        <v/>
      </c>
      <c r="D259" s="30" t="str">
        <f>IF(B259=0,"",IF('Imperial Data'!AG248&gt;=1, INDEX(Imperial_Incremental[], MATCH('Imperial Data'!AG248, Imperial_Incremental[Height], 1), MATCH('Cumulative Volumes Imperial'!$F$4 &amp; "EC", Imperial_Incremental[#Headers], 0)), 0))</f>
        <v/>
      </c>
      <c r="E259" s="30"/>
      <c r="F259" s="30"/>
      <c r="G259" s="30" t="str">
        <f>IF(B259=0,"",IF('Cumulative Volumes Imperial'!$AQ$17=FALSE,I259,H259))</f>
        <v/>
      </c>
      <c r="H259" s="30"/>
      <c r="I259" s="30"/>
      <c r="J259" s="30" t="str">
        <f>IF(B259="","",IF('Cumulative Volumes Imperial'!$AQ$17=FALSE,L259,K259))</f>
        <v/>
      </c>
      <c r="K259" s="30"/>
      <c r="L259" s="30"/>
      <c r="M259" s="30" t="str">
        <f>IF($E$8+45+$E$9&gt;989,"FALSE",IF(B259="","",IF('Cumulative Volumes Imperial'!$AQ$17=FALSE,O259,N259)))</f>
        <v/>
      </c>
      <c r="N259" s="30"/>
      <c r="O259" s="30" t="str">
        <f>IF(B259=0,"",IF('Cumulative Volumes Imperial'!$AQ$17=FALSE,(V259*$E$4)+(W259*$E$5),N259))</f>
        <v/>
      </c>
      <c r="P259" s="30" t="str">
        <f>IF(B259=0,"",(((1/12)*'Imperial Data'!$AC$4*'Imperial Data'!$AC$5)-C259)*$H$6)</f>
        <v/>
      </c>
      <c r="Q259" s="30"/>
      <c r="R259" s="30" t="str">
        <f>IF(B259=0,"",(((1/12)*'Imperial Data'!$AC$5*'Imperial Data'!$AC$7)-D259)*$H$6)</f>
        <v/>
      </c>
      <c r="S259" s="30"/>
      <c r="T259" s="30"/>
      <c r="U259" s="30"/>
      <c r="V259" s="30"/>
      <c r="W259" s="30" t="str">
        <f t="shared" si="63"/>
        <v/>
      </c>
      <c r="X259" s="31"/>
      <c r="Y259" s="30" t="str">
        <f t="shared" si="62"/>
        <v/>
      </c>
    </row>
    <row r="260" spans="2:25" x14ac:dyDescent="0.2">
      <c r="B260" s="34"/>
      <c r="C260" s="30" t="str">
        <f>IF(B260=0,"",IF('Imperial Data'!AG249&gt;=1, INDEX(Imperial_Incremental[], MATCH('Imperial Data'!AG249, Imperial_Incremental[Height], 1), MATCH('Cumulative Volumes Imperial'!$F$4, Imperial_Incremental[#Headers], 0)), 0))</f>
        <v/>
      </c>
      <c r="D260" s="30" t="str">
        <f>IF(B260=0,"",IF('Imperial Data'!AG249&gt;=1, INDEX(Imperial_Incremental[], MATCH('Imperial Data'!AG249, Imperial_Incremental[Height], 1), MATCH('Cumulative Volumes Imperial'!$F$4 &amp; "EC", Imperial_Incremental[#Headers], 0)), 0))</f>
        <v/>
      </c>
      <c r="E260" s="30"/>
      <c r="F260" s="30"/>
      <c r="G260" s="30" t="str">
        <f>IF(B260=0,"",IF('Cumulative Volumes Imperial'!$AQ$17=FALSE,I260,H260))</f>
        <v/>
      </c>
      <c r="H260" s="30"/>
      <c r="I260" s="30"/>
      <c r="J260" s="30" t="str">
        <f>IF(B260="","",IF('Cumulative Volumes Imperial'!$AQ$17=FALSE,L260,K260))</f>
        <v/>
      </c>
      <c r="K260" s="30"/>
      <c r="L260" s="30"/>
      <c r="M260" s="30" t="str">
        <f>IF($E$8+45+$E$9&gt;989,"FALSE",IF(B260="","",IF('Cumulative Volumes Imperial'!$AQ$17=FALSE,O260,N260)))</f>
        <v/>
      </c>
      <c r="N260" s="30"/>
      <c r="O260" s="30" t="str">
        <f>IF(B260=0,"",IF('Cumulative Volumes Imperial'!$AQ$17=FALSE,(V260*$E$4)+(W260*$E$5),N260))</f>
        <v/>
      </c>
      <c r="P260" s="30" t="str">
        <f>IF(B260=0,"",(((1/12)*'Imperial Data'!$AC$4*'Imperial Data'!$AC$5)-C260)*$H$6)</f>
        <v/>
      </c>
      <c r="Q260" s="30"/>
      <c r="R260" s="30" t="str">
        <f>IF(B260=0,"",(((1/12)*'Imperial Data'!$AC$5*'Imperial Data'!$AC$7)-D260)*$H$6)</f>
        <v/>
      </c>
      <c r="S260" s="30"/>
      <c r="T260" s="30"/>
      <c r="U260" s="30"/>
      <c r="V260" s="30"/>
      <c r="W260" s="30" t="str">
        <f t="shared" si="63"/>
        <v/>
      </c>
      <c r="X260" s="31"/>
      <c r="Y260" s="30" t="str">
        <f t="shared" si="62"/>
        <v/>
      </c>
    </row>
    <row r="261" spans="2:25" x14ac:dyDescent="0.2">
      <c r="B261" s="34"/>
      <c r="C261" s="30" t="str">
        <f>IF(B261=0,"",IF('Imperial Data'!AG250&gt;=1, INDEX(Imperial_Incremental[], MATCH('Imperial Data'!AG250, Imperial_Incremental[Height], 1), MATCH('Cumulative Volumes Imperial'!$F$4, Imperial_Incremental[#Headers], 0)), 0))</f>
        <v/>
      </c>
      <c r="D261" s="30" t="str">
        <f>IF(B261=0,"",IF('Imperial Data'!AG250&gt;=1, INDEX(Imperial_Incremental[], MATCH('Imperial Data'!AG250, Imperial_Incremental[Height], 1), MATCH('Cumulative Volumes Imperial'!$F$4 &amp; "EC", Imperial_Incremental[#Headers], 0)), 0))</f>
        <v/>
      </c>
      <c r="E261" s="30"/>
      <c r="F261" s="30"/>
      <c r="G261" s="30" t="str">
        <f>IF(B261=0,"",IF('Cumulative Volumes Imperial'!$AQ$17=FALSE,I261,H261))</f>
        <v/>
      </c>
      <c r="H261" s="30"/>
      <c r="I261" s="30"/>
      <c r="J261" s="30" t="str">
        <f>IF(B261="","",IF('Cumulative Volumes Imperial'!$AQ$17=FALSE,L261,K261))</f>
        <v/>
      </c>
      <c r="K261" s="30"/>
      <c r="L261" s="30"/>
      <c r="M261" s="30" t="str">
        <f>IF($E$8+45+$E$9&gt;989,"FALSE",IF(B261="","",IF('Cumulative Volumes Imperial'!$AQ$17=FALSE,O261,N261)))</f>
        <v/>
      </c>
      <c r="N261" s="30"/>
      <c r="O261" s="30" t="str">
        <f>IF(B261=0,"",IF('Cumulative Volumes Imperial'!$AQ$17=FALSE,(V261*$E$4)+(W261*$E$5),N261))</f>
        <v/>
      </c>
      <c r="P261" s="30" t="str">
        <f>IF(B261=0,"",(((1/12)*'Imperial Data'!$AC$4*'Imperial Data'!$AC$5)-C261)*$H$6)</f>
        <v/>
      </c>
      <c r="Q261" s="30"/>
      <c r="R261" s="30" t="str">
        <f>IF(B261=0,"",(((1/12)*'Imperial Data'!$AC$5*'Imperial Data'!$AC$7)-D261)*$H$6)</f>
        <v/>
      </c>
      <c r="S261" s="30"/>
      <c r="T261" s="30"/>
      <c r="U261" s="30"/>
      <c r="V261" s="30"/>
      <c r="W261" s="30" t="str">
        <f t="shared" si="63"/>
        <v/>
      </c>
      <c r="X261" s="31"/>
      <c r="Y261" s="30" t="str">
        <f t="shared" si="62"/>
        <v/>
      </c>
    </row>
    <row r="262" spans="2:25" x14ac:dyDescent="0.2">
      <c r="B262" s="34"/>
      <c r="C262" s="30" t="str">
        <f>IF(B262=0,"",IF('Imperial Data'!AG251&gt;=1, INDEX(Imperial_Incremental[], MATCH('Imperial Data'!AG251, Imperial_Incremental[Height], 1), MATCH('Cumulative Volumes Imperial'!$F$4, Imperial_Incremental[#Headers], 0)), 0))</f>
        <v/>
      </c>
      <c r="D262" s="30" t="str">
        <f>IF(B262=0,"",IF('Imperial Data'!AG251&gt;=1, INDEX(Imperial_Incremental[], MATCH('Imperial Data'!AG251, Imperial_Incremental[Height], 1), MATCH('Cumulative Volumes Imperial'!$F$4 &amp; "EC", Imperial_Incremental[#Headers], 0)), 0))</f>
        <v/>
      </c>
      <c r="E262" s="30"/>
      <c r="F262" s="30"/>
      <c r="G262" s="30" t="str">
        <f>IF(B262=0,"",IF('Cumulative Volumes Imperial'!$AQ$17=FALSE,I262,H262))</f>
        <v/>
      </c>
      <c r="H262" s="30"/>
      <c r="I262" s="30"/>
      <c r="J262" s="30" t="str">
        <f>IF(B262="","",IF('Cumulative Volumes Imperial'!$AQ$17=FALSE,L262,K262))</f>
        <v/>
      </c>
      <c r="K262" s="30"/>
      <c r="L262" s="30"/>
      <c r="M262" s="30" t="str">
        <f>IF($E$8+45+$E$9&gt;989,"FALSE",IF(B262="","",IF('Cumulative Volumes Imperial'!$AQ$17=FALSE,O262,N262)))</f>
        <v/>
      </c>
      <c r="N262" s="30"/>
      <c r="O262" s="30" t="str">
        <f>IF(B262=0,"",IF('Cumulative Volumes Imperial'!$AQ$17=FALSE,(V262*$E$4)+(W262*$E$5),N262))</f>
        <v/>
      </c>
      <c r="P262" s="30" t="str">
        <f>IF(B262=0,"",(((1/12)*'Imperial Data'!$AC$4*'Imperial Data'!$AC$5)-C262)*$H$6)</f>
        <v/>
      </c>
      <c r="Q262" s="30"/>
      <c r="R262" s="30" t="str">
        <f>IF(B262=0,"",(((1/12)*'Imperial Data'!$AC$5*'Imperial Data'!$AC$7)-D262)*$H$6)</f>
        <v/>
      </c>
      <c r="S262" s="30"/>
      <c r="T262" s="30"/>
      <c r="U262" s="30"/>
      <c r="V262" s="30"/>
      <c r="W262" s="30" t="str">
        <f t="shared" si="63"/>
        <v/>
      </c>
      <c r="X262" s="31"/>
      <c r="Y262" s="30" t="str">
        <f t="shared" si="62"/>
        <v/>
      </c>
    </row>
    <row r="263" spans="2:25" x14ac:dyDescent="0.2">
      <c r="B263" s="34"/>
      <c r="C263" s="30" t="str">
        <f>IF(B263=0,"",IF('Imperial Data'!AG252&gt;=1, INDEX(Imperial_Incremental[], MATCH('Imperial Data'!AG252, Imperial_Incremental[Height], 1), MATCH('Cumulative Volumes Imperial'!$F$4, Imperial_Incremental[#Headers], 0)), 0))</f>
        <v/>
      </c>
      <c r="D263" s="30" t="str">
        <f>IF(B263=0,"",IF('Imperial Data'!AG252&gt;=1, INDEX(Imperial_Incremental[], MATCH('Imperial Data'!AG252, Imperial_Incremental[Height], 1), MATCH('Cumulative Volumes Imperial'!$F$4 &amp; "EC", Imperial_Incremental[#Headers], 0)), 0))</f>
        <v/>
      </c>
      <c r="E263" s="30"/>
      <c r="F263" s="30"/>
      <c r="G263" s="30" t="str">
        <f>IF(B263=0,"",IF('Cumulative Volumes Imperial'!$AQ$17=FALSE,I263,H263))</f>
        <v/>
      </c>
      <c r="H263" s="30"/>
      <c r="I263" s="30"/>
      <c r="J263" s="30" t="str">
        <f>IF(B263="","",IF('Cumulative Volumes Imperial'!$AQ$17=FALSE,L263,K263))</f>
        <v/>
      </c>
      <c r="K263" s="30"/>
      <c r="L263" s="30"/>
      <c r="M263" s="30" t="str">
        <f>IF($E$8+45+$E$9&gt;989,"FALSE",IF(B263="","",IF('Cumulative Volumes Imperial'!$AQ$17=FALSE,O263,N263)))</f>
        <v/>
      </c>
      <c r="N263" s="30"/>
      <c r="O263" s="30" t="str">
        <f>IF(B263=0,"",IF('Cumulative Volumes Imperial'!$AQ$17=FALSE,(V263*$E$4)+(W263*$E$5),N263))</f>
        <v/>
      </c>
      <c r="P263" s="30" t="str">
        <f>IF(B263=0,"",(((1/12)*'Imperial Data'!$AC$4*'Imperial Data'!$AC$5)-C263)*$H$6)</f>
        <v/>
      </c>
      <c r="Q263" s="30"/>
      <c r="R263" s="30" t="str">
        <f>IF(B263=0,"",(((1/12)*'Imperial Data'!$AC$5*'Imperial Data'!$AC$7)-D263)*$H$6)</f>
        <v/>
      </c>
      <c r="S263" s="30"/>
      <c r="T263" s="30"/>
      <c r="U263" s="30"/>
      <c r="V263" s="30"/>
      <c r="W263" s="30" t="str">
        <f t="shared" si="63"/>
        <v/>
      </c>
      <c r="X263" s="31"/>
      <c r="Y263" s="30" t="str">
        <f t="shared" si="62"/>
        <v/>
      </c>
    </row>
    <row r="264" spans="2:25" x14ac:dyDescent="0.2">
      <c r="B264" s="34"/>
      <c r="C264" s="30" t="str">
        <f>IF(B264=0,"",IF('Imperial Data'!AG253&gt;=1, INDEX(Imperial_Incremental[], MATCH('Imperial Data'!AG253, Imperial_Incremental[Height], 1), MATCH('Cumulative Volumes Imperial'!$F$4, Imperial_Incremental[#Headers], 0)), 0))</f>
        <v/>
      </c>
      <c r="D264" s="30" t="str">
        <f>IF(B264=0,"",IF('Imperial Data'!AG253&gt;=1, INDEX(Imperial_Incremental[], MATCH('Imperial Data'!AG253, Imperial_Incremental[Height], 1), MATCH('Cumulative Volumes Imperial'!$F$4 &amp; "EC", Imperial_Incremental[#Headers], 0)), 0))</f>
        <v/>
      </c>
      <c r="E264" s="30"/>
      <c r="F264" s="30"/>
      <c r="G264" s="30" t="str">
        <f>IF(B264=0,"",IF('Cumulative Volumes Imperial'!$AQ$17=FALSE,I264,H264))</f>
        <v/>
      </c>
      <c r="H264" s="30"/>
      <c r="I264" s="30"/>
      <c r="J264" s="30" t="str">
        <f>IF(B264="","",IF('Cumulative Volumes Imperial'!$AQ$17=FALSE,L264,K264))</f>
        <v/>
      </c>
      <c r="K264" s="30"/>
      <c r="L264" s="30"/>
      <c r="M264" s="30" t="str">
        <f>IF($E$8+45+$E$9&gt;989,"FALSE",IF(B264="","",IF('Cumulative Volumes Imperial'!$AQ$17=FALSE,O264,N264)))</f>
        <v/>
      </c>
      <c r="N264" s="30"/>
      <c r="O264" s="30" t="str">
        <f>IF(B264=0,"",IF('Cumulative Volumes Imperial'!$AQ$17=FALSE,(V264*$E$4)+(W264*$E$5),N264))</f>
        <v/>
      </c>
      <c r="P264" s="30" t="str">
        <f>IF(B264=0,"",(((1/12)*'Imperial Data'!$AC$4*'Imperial Data'!$AC$5)-C264)*$H$6)</f>
        <v/>
      </c>
      <c r="Q264" s="30"/>
      <c r="R264" s="30" t="str">
        <f>IF(B264=0,"",(((1/12)*'Imperial Data'!$AC$5*'Imperial Data'!$AC$7)-D264)*$H$6)</f>
        <v/>
      </c>
      <c r="S264" s="30"/>
      <c r="T264" s="30"/>
      <c r="U264" s="30"/>
      <c r="V264" s="30"/>
      <c r="W264" s="30" t="str">
        <f t="shared" si="63"/>
        <v/>
      </c>
      <c r="X264" s="31"/>
      <c r="Y264" s="30" t="str">
        <f t="shared" si="62"/>
        <v/>
      </c>
    </row>
    <row r="265" spans="2:25" x14ac:dyDescent="0.2">
      <c r="B265" s="34"/>
      <c r="C265" s="30" t="str">
        <f>IF(B265=0,"",IF('Imperial Data'!AG254&gt;=1, INDEX(Imperial_Incremental[], MATCH('Imperial Data'!AG254, Imperial_Incremental[Height], 1), MATCH('Cumulative Volumes Imperial'!$F$4, Imperial_Incremental[#Headers], 0)), 0))</f>
        <v/>
      </c>
      <c r="D265" s="30" t="str">
        <f>IF(B265=0,"",IF('Imperial Data'!AG254&gt;=1, INDEX(Imperial_Incremental[], MATCH('Imperial Data'!AG254, Imperial_Incremental[Height], 1), MATCH('Cumulative Volumes Imperial'!$F$4 &amp; "EC", Imperial_Incremental[#Headers], 0)), 0))</f>
        <v/>
      </c>
      <c r="E265" s="30"/>
      <c r="F265" s="30"/>
      <c r="G265" s="30" t="str">
        <f>IF(B265=0,"",IF('Cumulative Volumes Imperial'!$AQ$17=FALSE,I265,H265))</f>
        <v/>
      </c>
      <c r="H265" s="30"/>
      <c r="I265" s="30"/>
      <c r="J265" s="30" t="str">
        <f>IF(B265="","",IF('Cumulative Volumes Imperial'!$AQ$17=FALSE,L265,K265))</f>
        <v/>
      </c>
      <c r="K265" s="30"/>
      <c r="L265" s="30"/>
      <c r="M265" s="30" t="str">
        <f>IF($E$8+45+$E$9&gt;989,"FALSE",IF(B265="","",IF('Cumulative Volumes Imperial'!$AQ$17=FALSE,O265,N265)))</f>
        <v/>
      </c>
      <c r="N265" s="30"/>
      <c r="O265" s="30" t="str">
        <f>IF(B265=0,"",IF('Cumulative Volumes Imperial'!$AQ$17=FALSE,(V265*$E$4)+(W265*$E$5),N265))</f>
        <v/>
      </c>
      <c r="P265" s="30" t="str">
        <f>IF(B265=0,"",(((1/12)*'Imperial Data'!$AC$4*'Imperial Data'!$AC$5)-C265)*$H$6)</f>
        <v/>
      </c>
      <c r="Q265" s="30"/>
      <c r="R265" s="30" t="str">
        <f>IF(B265=0,"",(((1/12)*'Imperial Data'!$AC$5*'Imperial Data'!$AC$7)-D265)*$H$6)</f>
        <v/>
      </c>
      <c r="S265" s="30"/>
      <c r="T265" s="30"/>
      <c r="U265" s="30"/>
      <c r="V265" s="30"/>
      <c r="W265" s="30" t="str">
        <f t="shared" si="63"/>
        <v/>
      </c>
      <c r="X265" s="31"/>
      <c r="Y265" s="30" t="str">
        <f t="shared" si="62"/>
        <v/>
      </c>
    </row>
    <row r="266" spans="2:25" x14ac:dyDescent="0.2">
      <c r="B266" s="34"/>
      <c r="C266" s="30" t="str">
        <f>IF(B266=0,"",IF('Imperial Data'!AG255&gt;=1, INDEX(Imperial_Incremental[], MATCH('Imperial Data'!AG255, Imperial_Incremental[Height], 1), MATCH('Cumulative Volumes Imperial'!$F$4, Imperial_Incremental[#Headers], 0)), 0))</f>
        <v/>
      </c>
      <c r="D266" s="30" t="str">
        <f>IF(B266=0,"",IF('Imperial Data'!AG255&gt;=1, INDEX(Imperial_Incremental[], MATCH('Imperial Data'!AG255, Imperial_Incremental[Height], 1), MATCH('Cumulative Volumes Imperial'!$F$4 &amp; "EC", Imperial_Incremental[#Headers], 0)), 0))</f>
        <v/>
      </c>
      <c r="E266" s="30"/>
      <c r="F266" s="30"/>
      <c r="G266" s="30" t="str">
        <f>IF(B266=0,"",IF('Cumulative Volumes Imperial'!$AQ$17=FALSE,I266,H266))</f>
        <v/>
      </c>
      <c r="H266" s="30"/>
      <c r="I266" s="30"/>
      <c r="J266" s="30" t="str">
        <f>IF(B266="","",IF('Cumulative Volumes Imperial'!$AQ$17=FALSE,L266,K266))</f>
        <v/>
      </c>
      <c r="K266" s="30"/>
      <c r="L266" s="30"/>
      <c r="M266" s="30" t="str">
        <f>IF($E$8+45+$E$9&gt;989,"FALSE",IF(B266="","",IF('Cumulative Volumes Imperial'!$AQ$17=FALSE,O266,N266)))</f>
        <v/>
      </c>
      <c r="N266" s="30"/>
      <c r="O266" s="30" t="str">
        <f>IF(B266=0,"",IF('Cumulative Volumes Imperial'!$AQ$17=FALSE,(V266*$E$4)+(W266*$E$5),N266))</f>
        <v/>
      </c>
      <c r="P266" s="30" t="str">
        <f>IF(B266=0,"",(((1/12)*'Imperial Data'!$AC$4*'Imperial Data'!$AC$5)-C266)*$H$6)</f>
        <v/>
      </c>
      <c r="Q266" s="30"/>
      <c r="R266" s="30" t="str">
        <f>IF(B266=0,"",(((1/12)*'Imperial Data'!$AC$5*'Imperial Data'!$AC$7)-D266)*$H$6)</f>
        <v/>
      </c>
      <c r="S266" s="30"/>
      <c r="T266" s="30"/>
      <c r="U266" s="30"/>
      <c r="V266" s="30"/>
      <c r="W266" s="30" t="str">
        <f t="shared" si="63"/>
        <v/>
      </c>
      <c r="X266" s="31"/>
      <c r="Y266" s="30" t="str">
        <f t="shared" si="62"/>
        <v/>
      </c>
    </row>
    <row r="267" spans="2:25" x14ac:dyDescent="0.2">
      <c r="B267" s="34"/>
      <c r="C267" s="30" t="str">
        <f>IF(B267=0,"",IF('Imperial Data'!AG256&gt;=1, INDEX(Imperial_Incremental[], MATCH('Imperial Data'!AG256, Imperial_Incremental[Height], 1), MATCH('Cumulative Volumes Imperial'!$F$4, Imperial_Incremental[#Headers], 0)), 0))</f>
        <v/>
      </c>
      <c r="D267" s="30" t="str">
        <f>IF(B267=0,"",IF('Imperial Data'!AG256&gt;=1, INDEX(Imperial_Incremental[], MATCH('Imperial Data'!AG256, Imperial_Incremental[Height], 1), MATCH('Cumulative Volumes Imperial'!$F$4 &amp; "EC", Imperial_Incremental[#Headers], 0)), 0))</f>
        <v/>
      </c>
      <c r="E267" s="30"/>
      <c r="F267" s="30"/>
      <c r="G267" s="30" t="str">
        <f>IF(B267=0,"",IF('Cumulative Volumes Imperial'!$AQ$17=FALSE,I267,H267))</f>
        <v/>
      </c>
      <c r="H267" s="30"/>
      <c r="I267" s="30"/>
      <c r="J267" s="30" t="str">
        <f>IF(B267="","",IF('Cumulative Volumes Imperial'!$AQ$17=FALSE,L267,K267))</f>
        <v/>
      </c>
      <c r="K267" s="30"/>
      <c r="L267" s="30"/>
      <c r="M267" s="30" t="str">
        <f>IF($E$8+45+$E$9&gt;989,"FALSE",IF(B267="","",IF('Cumulative Volumes Imperial'!$AQ$17=FALSE,O267,N267)))</f>
        <v/>
      </c>
      <c r="N267" s="30"/>
      <c r="O267" s="30" t="str">
        <f>IF(B267=0,"",IF('Cumulative Volumes Imperial'!$AQ$17=FALSE,(V267*$E$4)+(W267*$E$5),N267))</f>
        <v/>
      </c>
      <c r="P267" s="30" t="str">
        <f>IF(B267=0,"",(((1/12)*'Imperial Data'!$AC$4*'Imperial Data'!$AC$5)-C267)*$H$6)</f>
        <v/>
      </c>
      <c r="Q267" s="30"/>
      <c r="R267" s="30" t="str">
        <f>IF(B267=0,"",(((1/12)*'Imperial Data'!$AC$5*'Imperial Data'!$AC$7)-D267)*$H$6)</f>
        <v/>
      </c>
      <c r="S267" s="30"/>
      <c r="T267" s="30"/>
      <c r="U267" s="30"/>
      <c r="V267" s="30"/>
      <c r="W267" s="30" t="str">
        <f t="shared" si="63"/>
        <v/>
      </c>
      <c r="X267" s="31"/>
      <c r="Y267" s="30" t="str">
        <f t="shared" si="62"/>
        <v/>
      </c>
    </row>
    <row r="268" spans="2:25" x14ac:dyDescent="0.2">
      <c r="B268" s="34"/>
      <c r="C268" s="30" t="str">
        <f>IF(B268=0,"",IF('Imperial Data'!AG257&gt;=1, INDEX(Imperial_Incremental[], MATCH('Imperial Data'!AG257, Imperial_Incremental[Height], 1), MATCH('Cumulative Volumes Imperial'!$F$4, Imperial_Incremental[#Headers], 0)), 0))</f>
        <v/>
      </c>
      <c r="D268" s="30" t="str">
        <f>IF(B268=0,"",IF('Imperial Data'!AG257&gt;=1, INDEX(Imperial_Incremental[], MATCH('Imperial Data'!AG257, Imperial_Incremental[Height], 1), MATCH('Cumulative Volumes Imperial'!$F$4 &amp; "EC", Imperial_Incremental[#Headers], 0)), 0))</f>
        <v/>
      </c>
      <c r="E268" s="30"/>
      <c r="F268" s="30"/>
      <c r="G268" s="30" t="str">
        <f>IF(B268=0,"",IF('Cumulative Volumes Imperial'!$AQ$17=FALSE,I268,H268))</f>
        <v/>
      </c>
      <c r="H268" s="30"/>
      <c r="I268" s="30"/>
      <c r="J268" s="30" t="str">
        <f>IF(B268="","",IF('Cumulative Volumes Imperial'!$AQ$17=FALSE,L268,K268))</f>
        <v/>
      </c>
      <c r="K268" s="30"/>
      <c r="L268" s="30"/>
      <c r="M268" s="30" t="str">
        <f>IF($E$8+45+$E$9&gt;989,"FALSE",IF(B268="","",IF('Cumulative Volumes Imperial'!$AQ$17=FALSE,O268,N268)))</f>
        <v/>
      </c>
      <c r="N268" s="30"/>
      <c r="O268" s="30" t="str">
        <f>IF(B268=0,"",IF('Cumulative Volumes Imperial'!$AQ$17=FALSE,(V268*$E$4)+(W268*$E$5),N268))</f>
        <v/>
      </c>
      <c r="P268" s="30" t="str">
        <f>IF(B268=0,"",(((1/12)*'Imperial Data'!$AC$4*'Imperial Data'!$AC$5)-C268)*$H$6)</f>
        <v/>
      </c>
      <c r="Q268" s="30"/>
      <c r="R268" s="30" t="str">
        <f>IF(B268=0,"",(((1/12)*'Imperial Data'!$AC$5*'Imperial Data'!$AC$7)-D268)*$H$6)</f>
        <v/>
      </c>
      <c r="S268" s="30"/>
      <c r="T268" s="30"/>
      <c r="U268" s="30"/>
      <c r="V268" s="30"/>
      <c r="W268" s="30" t="str">
        <f t="shared" si="63"/>
        <v/>
      </c>
      <c r="X268" s="31"/>
      <c r="Y268" s="30" t="str">
        <f t="shared" si="62"/>
        <v/>
      </c>
    </row>
    <row r="269" spans="2:25" x14ac:dyDescent="0.2">
      <c r="B269" s="34"/>
      <c r="C269" s="30" t="str">
        <f>IF(B269=0,"",IF('Imperial Data'!AG258&gt;=1, INDEX(Imperial_Incremental[], MATCH('Imperial Data'!AG258, Imperial_Incremental[Height], 1), MATCH('Cumulative Volumes Imperial'!$F$4, Imperial_Incremental[#Headers], 0)), 0))</f>
        <v/>
      </c>
      <c r="D269" s="30" t="str">
        <f>IF(B269=0,"",IF('Imperial Data'!AG258&gt;=1, INDEX(Imperial_Incremental[], MATCH('Imperial Data'!AG258, Imperial_Incremental[Height], 1), MATCH('Cumulative Volumes Imperial'!$F$4 &amp; "EC", Imperial_Incremental[#Headers], 0)), 0))</f>
        <v/>
      </c>
      <c r="E269" s="30"/>
      <c r="F269" s="30"/>
      <c r="G269" s="30" t="str">
        <f>IF(B269=0,"",IF('Cumulative Volumes Imperial'!$AQ$17=FALSE,I269,H269))</f>
        <v/>
      </c>
      <c r="H269" s="30"/>
      <c r="I269" s="30"/>
      <c r="J269" s="30" t="str">
        <f>IF(B269="","",IF('Cumulative Volumes Imperial'!$AQ$17=FALSE,L269,K269))</f>
        <v/>
      </c>
      <c r="K269" s="30"/>
      <c r="L269" s="30"/>
      <c r="M269" s="30" t="str">
        <f>IF($E$8+45+$E$9&gt;989,"FALSE",IF(B269="","",IF('Cumulative Volumes Imperial'!$AQ$17=FALSE,O269,N269)))</f>
        <v/>
      </c>
      <c r="N269" s="30"/>
      <c r="O269" s="30" t="str">
        <f>IF(B269=0,"",IF('Cumulative Volumes Imperial'!$AQ$17=FALSE,(V269*$E$4)+(W269*$E$5),N269))</f>
        <v/>
      </c>
      <c r="P269" s="30" t="str">
        <f>IF(B269=0,"",(((1/12)*'Imperial Data'!$AC$4*'Imperial Data'!$AC$5)-C269)*$H$6)</f>
        <v/>
      </c>
      <c r="Q269" s="30"/>
      <c r="R269" s="30" t="str">
        <f>IF(B269=0,"",(((1/12)*'Imperial Data'!$AC$5*'Imperial Data'!$AC$7)-D269)*$H$6)</f>
        <v/>
      </c>
      <c r="S269" s="30"/>
      <c r="T269" s="30"/>
      <c r="U269" s="30"/>
      <c r="V269" s="30"/>
      <c r="W269" s="30" t="str">
        <f t="shared" si="63"/>
        <v/>
      </c>
      <c r="X269" s="31"/>
      <c r="Y269" s="30" t="str">
        <f t="shared" si="62"/>
        <v/>
      </c>
    </row>
    <row r="270" spans="2:25" x14ac:dyDescent="0.2">
      <c r="B270" s="34"/>
      <c r="C270" s="30" t="str">
        <f>IF(B270=0,"",IF('Imperial Data'!AG259&gt;=1, INDEX(Imperial_Incremental[], MATCH('Imperial Data'!AG259, Imperial_Incremental[Height], 1), MATCH('Cumulative Volumes Imperial'!$F$4, Imperial_Incremental[#Headers], 0)), 0))</f>
        <v/>
      </c>
      <c r="D270" s="30" t="str">
        <f>IF(B270=0,"",IF('Imperial Data'!AG259&gt;=1, INDEX(Imperial_Incremental[], MATCH('Imperial Data'!AG259, Imperial_Incremental[Height], 1), MATCH('Cumulative Volumes Imperial'!$F$4 &amp; "EC", Imperial_Incremental[#Headers], 0)), 0))</f>
        <v/>
      </c>
      <c r="E270" s="30"/>
      <c r="F270" s="30"/>
      <c r="G270" s="30" t="str">
        <f>IF(B270=0,"",IF('Cumulative Volumes Imperial'!$AQ$17=FALSE,I270,H270))</f>
        <v/>
      </c>
      <c r="H270" s="30"/>
      <c r="I270" s="30"/>
      <c r="J270" s="30" t="str">
        <f>IF(B270="","",IF('Cumulative Volumes Imperial'!$AQ$17=FALSE,L270,K270))</f>
        <v/>
      </c>
      <c r="K270" s="30"/>
      <c r="L270" s="30"/>
      <c r="M270" s="30" t="str">
        <f>IF($E$8+45+$E$9&gt;989,"FALSE",IF(B270="","",IF('Cumulative Volumes Imperial'!$AQ$17=FALSE,O270,N270)))</f>
        <v/>
      </c>
      <c r="N270" s="30"/>
      <c r="O270" s="30" t="str">
        <f>IF(B270=0,"",IF('Cumulative Volumes Imperial'!$AQ$17=FALSE,(V270*$E$4)+(W270*$E$5),N270))</f>
        <v/>
      </c>
      <c r="P270" s="30" t="str">
        <f>IF(B270=0,"",(((1/12)*'Imperial Data'!$AC$4*'Imperial Data'!$AC$5)-C270)*$H$6)</f>
        <v/>
      </c>
      <c r="Q270" s="30"/>
      <c r="R270" s="30" t="str">
        <f>IF(B270=0,"",(((1/12)*'Imperial Data'!$AC$5*'Imperial Data'!$AC$7)-D270)*$H$6)</f>
        <v/>
      </c>
      <c r="S270" s="30"/>
      <c r="T270" s="30"/>
      <c r="U270" s="30"/>
      <c r="V270" s="30"/>
      <c r="W270" s="30" t="str">
        <f t="shared" si="63"/>
        <v/>
      </c>
      <c r="X270" s="31"/>
      <c r="Y270" s="30" t="str">
        <f t="shared" si="62"/>
        <v/>
      </c>
    </row>
    <row r="271" spans="2:25" x14ac:dyDescent="0.2">
      <c r="B271" s="34"/>
      <c r="C271" s="30" t="str">
        <f>IF(B271=0,"",IF('Imperial Data'!AG260&gt;=1, INDEX(Imperial_Incremental[], MATCH('Imperial Data'!AG260, Imperial_Incremental[Height], 1), MATCH('Cumulative Volumes Imperial'!$F$4, Imperial_Incremental[#Headers], 0)), 0))</f>
        <v/>
      </c>
      <c r="D271" s="30" t="str">
        <f>IF(B271=0,"",IF('Imperial Data'!AG260&gt;=1, INDEX(Imperial_Incremental[], MATCH('Imperial Data'!AG260, Imperial_Incremental[Height], 1), MATCH('Cumulative Volumes Imperial'!$F$4 &amp; "EC", Imperial_Incremental[#Headers], 0)), 0))</f>
        <v/>
      </c>
      <c r="E271" s="30"/>
      <c r="F271" s="30"/>
      <c r="G271" s="30" t="str">
        <f>IF(B271=0,"",IF('Cumulative Volumes Imperial'!$AQ$17=FALSE,I271,H271))</f>
        <v/>
      </c>
      <c r="H271" s="30"/>
      <c r="I271" s="30"/>
      <c r="J271" s="30" t="str">
        <f>IF(B271="","",IF('Cumulative Volumes Imperial'!$AQ$17=FALSE,L271,K271))</f>
        <v/>
      </c>
      <c r="K271" s="30"/>
      <c r="L271" s="30"/>
      <c r="M271" s="30" t="str">
        <f>IF($E$8+45+$E$9&gt;989,"FALSE",IF(B271="","",IF('Cumulative Volumes Imperial'!$AQ$17=FALSE,O271,N271)))</f>
        <v/>
      </c>
      <c r="N271" s="30"/>
      <c r="O271" s="30" t="str">
        <f>IF(B271=0,"",IF('Cumulative Volumes Imperial'!$AQ$17=FALSE,(V271*$E$4)+(W271*$E$5),N271))</f>
        <v/>
      </c>
      <c r="P271" s="30" t="str">
        <f>IF(B271=0,"",(((1/12)*'Imperial Data'!$AC$4*'Imperial Data'!$AC$5)-C271)*$H$6)</f>
        <v/>
      </c>
      <c r="Q271" s="30"/>
      <c r="R271" s="30" t="str">
        <f>IF(B271=0,"",(((1/12)*'Imperial Data'!$AC$5*'Imperial Data'!$AC$7)-D271)*$H$6)</f>
        <v/>
      </c>
      <c r="S271" s="30"/>
      <c r="T271" s="30"/>
      <c r="U271" s="30"/>
      <c r="V271" s="30"/>
      <c r="W271" s="30" t="str">
        <f t="shared" ref="W271:W334" si="64">IF(B271=0,"",IF(B271=1,D271+R271,W272+D271+R271))</f>
        <v/>
      </c>
      <c r="X271" s="31"/>
      <c r="Y271" s="30" t="str">
        <f t="shared" ref="Y271:Y334" si="65">IF(B271=0,"",$E$7+B271/12)</f>
        <v/>
      </c>
    </row>
    <row r="272" spans="2:25" x14ac:dyDescent="0.2">
      <c r="B272" s="34"/>
      <c r="C272" s="30" t="str">
        <f>IF(B272=0,"",IF('Imperial Data'!AG261&gt;=1, INDEX(Imperial_Incremental[], MATCH('Imperial Data'!AG261, Imperial_Incremental[Height], 1), MATCH('Cumulative Volumes Imperial'!$F$4, Imperial_Incremental[#Headers], 0)), 0))</f>
        <v/>
      </c>
      <c r="D272" s="30" t="str">
        <f>IF(B272=0,"",IF('Imperial Data'!AG261&gt;=1, INDEX(Imperial_Incremental[], MATCH('Imperial Data'!AG261, Imperial_Incremental[Height], 1), MATCH('Cumulative Volumes Imperial'!$F$4 &amp; "EC", Imperial_Incremental[#Headers], 0)), 0))</f>
        <v/>
      </c>
      <c r="E272" s="30"/>
      <c r="F272" s="30"/>
      <c r="G272" s="30" t="str">
        <f>IF(B272=0,"",IF('Cumulative Volumes Imperial'!$AQ$17=FALSE,I272,H272))</f>
        <v/>
      </c>
      <c r="H272" s="30"/>
      <c r="I272" s="30"/>
      <c r="J272" s="30" t="str">
        <f>IF(B272="","",IF('Cumulative Volumes Imperial'!$AQ$17=FALSE,L272,K272))</f>
        <v/>
      </c>
      <c r="K272" s="30"/>
      <c r="L272" s="30"/>
      <c r="M272" s="30" t="str">
        <f>IF($E$8+45+$E$9&gt;989,"FALSE",IF(B272="","",IF('Cumulative Volumes Imperial'!$AQ$17=FALSE,O272,N272)))</f>
        <v/>
      </c>
      <c r="N272" s="30"/>
      <c r="O272" s="30" t="str">
        <f>IF(B272=0,"",IF('Cumulative Volumes Imperial'!$AQ$17=FALSE,(V272*$E$4)+(W272*$E$5),N272))</f>
        <v/>
      </c>
      <c r="P272" s="30" t="str">
        <f>IF(B272=0,"",(((1/12)*'Imperial Data'!$AC$4*'Imperial Data'!$AC$5)-C272)*$H$6)</f>
        <v/>
      </c>
      <c r="Q272" s="30"/>
      <c r="R272" s="30" t="str">
        <f>IF(B272=0,"",(((1/12)*'Imperial Data'!$AC$5*'Imperial Data'!$AC$7)-D272)*$H$6)</f>
        <v/>
      </c>
      <c r="S272" s="30"/>
      <c r="T272" s="30"/>
      <c r="U272" s="30"/>
      <c r="V272" s="30"/>
      <c r="W272" s="30" t="str">
        <f t="shared" si="64"/>
        <v/>
      </c>
      <c r="X272" s="31"/>
      <c r="Y272" s="30" t="str">
        <f t="shared" si="65"/>
        <v/>
      </c>
    </row>
    <row r="273" spans="2:25" x14ac:dyDescent="0.2">
      <c r="B273" s="34"/>
      <c r="C273" s="30" t="str">
        <f>IF(B273=0,"",IF('Imperial Data'!AG262&gt;=1, INDEX(Imperial_Incremental[], MATCH('Imperial Data'!AG262, Imperial_Incremental[Height], 1), MATCH('Cumulative Volumes Imperial'!$F$4, Imperial_Incremental[#Headers], 0)), 0))</f>
        <v/>
      </c>
      <c r="D273" s="30" t="str">
        <f>IF(B273=0,"",IF('Imperial Data'!AG262&gt;=1, INDEX(Imperial_Incremental[], MATCH('Imperial Data'!AG262, Imperial_Incremental[Height], 1), MATCH('Cumulative Volumes Imperial'!$F$4 &amp; "EC", Imperial_Incremental[#Headers], 0)), 0))</f>
        <v/>
      </c>
      <c r="E273" s="30"/>
      <c r="F273" s="30"/>
      <c r="G273" s="30" t="str">
        <f>IF(B273=0,"",IF('Cumulative Volumes Imperial'!$AQ$17=FALSE,I273,H273))</f>
        <v/>
      </c>
      <c r="H273" s="30"/>
      <c r="I273" s="30"/>
      <c r="J273" s="30" t="str">
        <f>IF(B273="","",IF('Cumulative Volumes Imperial'!$AQ$17=FALSE,L273,K273))</f>
        <v/>
      </c>
      <c r="K273" s="30"/>
      <c r="L273" s="30"/>
      <c r="M273" s="30" t="str">
        <f>IF($E$8+45+$E$9&gt;989,"FALSE",IF(B273="","",IF('Cumulative Volumes Imperial'!$AQ$17=FALSE,O273,N273)))</f>
        <v/>
      </c>
      <c r="N273" s="30"/>
      <c r="O273" s="30" t="str">
        <f>IF(B273=0,"",IF('Cumulative Volumes Imperial'!$AQ$17=FALSE,(V273*$E$4)+(W273*$E$5),N273))</f>
        <v/>
      </c>
      <c r="P273" s="30" t="str">
        <f>IF(B273=0,"",(((1/12)*'Imperial Data'!$AC$4*'Imperial Data'!$AC$5)-C273)*$H$6)</f>
        <v/>
      </c>
      <c r="Q273" s="30"/>
      <c r="R273" s="30" t="str">
        <f>IF(B273=0,"",(((1/12)*'Imperial Data'!$AC$5*'Imperial Data'!$AC$7)-D273)*$H$6)</f>
        <v/>
      </c>
      <c r="S273" s="30"/>
      <c r="T273" s="30"/>
      <c r="U273" s="30"/>
      <c r="V273" s="30"/>
      <c r="W273" s="30" t="str">
        <f t="shared" si="64"/>
        <v/>
      </c>
      <c r="X273" s="31"/>
      <c r="Y273" s="30" t="str">
        <f t="shared" si="65"/>
        <v/>
      </c>
    </row>
    <row r="274" spans="2:25" x14ac:dyDescent="0.2">
      <c r="B274" s="34"/>
      <c r="C274" s="30" t="str">
        <f>IF(B274=0,"",IF('Imperial Data'!AG263&gt;=1, INDEX(Imperial_Incremental[], MATCH('Imperial Data'!AG263, Imperial_Incremental[Height], 1), MATCH('Cumulative Volumes Imperial'!$F$4, Imperial_Incremental[#Headers], 0)), 0))</f>
        <v/>
      </c>
      <c r="D274" s="30" t="str">
        <f>IF(B274=0,"",IF('Imperial Data'!AG263&gt;=1, INDEX(Imperial_Incremental[], MATCH('Imperial Data'!AG263, Imperial_Incremental[Height], 1), MATCH('Cumulative Volumes Imperial'!$F$4 &amp; "EC", Imperial_Incremental[#Headers], 0)), 0))</f>
        <v/>
      </c>
      <c r="E274" s="30"/>
      <c r="F274" s="30"/>
      <c r="G274" s="30" t="str">
        <f>IF(B274=0,"",IF('Cumulative Volumes Imperial'!$AQ$17=FALSE,I274,H274))</f>
        <v/>
      </c>
      <c r="H274" s="30"/>
      <c r="I274" s="30"/>
      <c r="J274" s="30" t="str">
        <f>IF(B274="","",IF('Cumulative Volumes Imperial'!$AQ$17=FALSE,L274,K274))</f>
        <v/>
      </c>
      <c r="K274" s="30"/>
      <c r="L274" s="30"/>
      <c r="M274" s="30" t="str">
        <f>IF($E$8+45+$E$9&gt;989,"FALSE",IF(B274="","",IF('Cumulative Volumes Imperial'!$AQ$17=FALSE,O274,N274)))</f>
        <v/>
      </c>
      <c r="N274" s="30"/>
      <c r="O274" s="30" t="str">
        <f>IF(B274=0,"",IF('Cumulative Volumes Imperial'!$AQ$17=FALSE,(V274*$E$4)+(W274*$E$5),N274))</f>
        <v/>
      </c>
      <c r="P274" s="30" t="str">
        <f>IF(B274=0,"",(((1/12)*'Imperial Data'!$AC$4*'Imperial Data'!$AC$5)-C274)*$H$6)</f>
        <v/>
      </c>
      <c r="Q274" s="30"/>
      <c r="R274" s="30" t="str">
        <f>IF(B274=0,"",(((1/12)*'Imperial Data'!$AC$5*'Imperial Data'!$AC$7)-D274)*$H$6)</f>
        <v/>
      </c>
      <c r="S274" s="30"/>
      <c r="T274" s="30"/>
      <c r="U274" s="30"/>
      <c r="V274" s="30"/>
      <c r="W274" s="30" t="str">
        <f t="shared" si="64"/>
        <v/>
      </c>
      <c r="X274" s="31"/>
      <c r="Y274" s="30" t="str">
        <f t="shared" si="65"/>
        <v/>
      </c>
    </row>
    <row r="275" spans="2:25" x14ac:dyDescent="0.2">
      <c r="B275" s="34"/>
      <c r="C275" s="30" t="str">
        <f>IF(B275=0,"",IF('Imperial Data'!AG264&gt;=1, INDEX(Imperial_Incremental[], MATCH('Imperial Data'!AG264, Imperial_Incremental[Height], 1), MATCH('Cumulative Volumes Imperial'!$F$4, Imperial_Incremental[#Headers], 0)), 0))</f>
        <v/>
      </c>
      <c r="D275" s="30" t="str">
        <f>IF(B275=0,"",IF('Imperial Data'!AG264&gt;=1, INDEX(Imperial_Incremental[], MATCH('Imperial Data'!AG264, Imperial_Incremental[Height], 1), MATCH('Cumulative Volumes Imperial'!$F$4 &amp; "EC", Imperial_Incremental[#Headers], 0)), 0))</f>
        <v/>
      </c>
      <c r="E275" s="30"/>
      <c r="F275" s="30"/>
      <c r="G275" s="30" t="str">
        <f>IF(B275=0,"",IF('Cumulative Volumes Imperial'!$AQ$17=FALSE,I275,H275))</f>
        <v/>
      </c>
      <c r="H275" s="30"/>
      <c r="I275" s="30"/>
      <c r="J275" s="30" t="str">
        <f>IF(B275="","",IF('Cumulative Volumes Imperial'!$AQ$17=FALSE,L275,K275))</f>
        <v/>
      </c>
      <c r="K275" s="30"/>
      <c r="L275" s="30"/>
      <c r="M275" s="30" t="str">
        <f>IF($E$8+45+$E$9&gt;989,"FALSE",IF(B275="","",IF('Cumulative Volumes Imperial'!$AQ$17=FALSE,O275,N275)))</f>
        <v/>
      </c>
      <c r="N275" s="30"/>
      <c r="O275" s="30" t="str">
        <f>IF(B275=0,"",IF('Cumulative Volumes Imperial'!$AQ$17=FALSE,(V275*$E$4)+(W275*$E$5),N275))</f>
        <v/>
      </c>
      <c r="P275" s="30" t="str">
        <f>IF(B275=0,"",(((1/12)*'Imperial Data'!$AC$4*'Imperial Data'!$AC$5)-C275)*$H$6)</f>
        <v/>
      </c>
      <c r="Q275" s="30"/>
      <c r="R275" s="30" t="str">
        <f>IF(B275=0,"",(((1/12)*'Imperial Data'!$AC$5*'Imperial Data'!$AC$7)-D275)*$H$6)</f>
        <v/>
      </c>
      <c r="S275" s="30"/>
      <c r="T275" s="30"/>
      <c r="U275" s="30"/>
      <c r="V275" s="30"/>
      <c r="W275" s="30" t="str">
        <f t="shared" si="64"/>
        <v/>
      </c>
      <c r="X275" s="31"/>
      <c r="Y275" s="30" t="str">
        <f t="shared" si="65"/>
        <v/>
      </c>
    </row>
    <row r="276" spans="2:25" x14ac:dyDescent="0.2">
      <c r="B276" s="34"/>
      <c r="C276" s="30" t="str">
        <f>IF(B276=0,"",IF('Imperial Data'!AG265&gt;=1, INDEX(Imperial_Incremental[], MATCH('Imperial Data'!AG265, Imperial_Incremental[Height], 1), MATCH('Cumulative Volumes Imperial'!$F$4, Imperial_Incremental[#Headers], 0)), 0))</f>
        <v/>
      </c>
      <c r="D276" s="30" t="str">
        <f>IF(B276=0,"",IF('Imperial Data'!AG265&gt;=1, INDEX(Imperial_Incremental[], MATCH('Imperial Data'!AG265, Imperial_Incremental[Height], 1), MATCH('Cumulative Volumes Imperial'!$F$4 &amp; "EC", Imperial_Incremental[#Headers], 0)), 0))</f>
        <v/>
      </c>
      <c r="E276" s="30"/>
      <c r="F276" s="30"/>
      <c r="G276" s="30" t="str">
        <f>IF(B276=0,"",IF('Cumulative Volumes Imperial'!$AQ$17=FALSE,I276,H276))</f>
        <v/>
      </c>
      <c r="H276" s="30"/>
      <c r="I276" s="30"/>
      <c r="J276" s="30" t="str">
        <f>IF(B276="","",IF('Cumulative Volumes Imperial'!$AQ$17=FALSE,L276,K276))</f>
        <v/>
      </c>
      <c r="K276" s="30"/>
      <c r="L276" s="30"/>
      <c r="M276" s="30" t="str">
        <f>IF($E$8+45+$E$9&gt;989,"FALSE",IF(B276="","",IF('Cumulative Volumes Imperial'!$AQ$17=FALSE,O276,N276)))</f>
        <v/>
      </c>
      <c r="N276" s="30"/>
      <c r="O276" s="30" t="str">
        <f>IF(B276=0,"",IF('Cumulative Volumes Imperial'!$AQ$17=FALSE,(V276*$E$4)+(W276*$E$5),N276))</f>
        <v/>
      </c>
      <c r="P276" s="30" t="str">
        <f>IF(B276=0,"",(((1/12)*'Imperial Data'!$AC$4*'Imperial Data'!$AC$5)-C276)*$H$6)</f>
        <v/>
      </c>
      <c r="Q276" s="30"/>
      <c r="R276" s="30" t="str">
        <f>IF(B276=0,"",(((1/12)*'Imperial Data'!$AC$5*'Imperial Data'!$AC$7)-D276)*$H$6)</f>
        <v/>
      </c>
      <c r="S276" s="30"/>
      <c r="T276" s="30"/>
      <c r="U276" s="30"/>
      <c r="V276" s="30"/>
      <c r="W276" s="30" t="str">
        <f t="shared" si="64"/>
        <v/>
      </c>
      <c r="X276" s="31"/>
      <c r="Y276" s="30" t="str">
        <f t="shared" si="65"/>
        <v/>
      </c>
    </row>
    <row r="277" spans="2:25" x14ac:dyDescent="0.2">
      <c r="B277" s="34"/>
      <c r="C277" s="30" t="str">
        <f>IF(B277=0,"",IF('Imperial Data'!AG266&gt;=1, INDEX(Imperial_Incremental[], MATCH('Imperial Data'!AG266, Imperial_Incremental[Height], 1), MATCH('Cumulative Volumes Imperial'!$F$4, Imperial_Incremental[#Headers], 0)), 0))</f>
        <v/>
      </c>
      <c r="D277" s="30" t="str">
        <f>IF(B277=0,"",IF('Imperial Data'!AG266&gt;=1, INDEX(Imperial_Incremental[], MATCH('Imperial Data'!AG266, Imperial_Incremental[Height], 1), MATCH('Cumulative Volumes Imperial'!$F$4 &amp; "EC", Imperial_Incremental[#Headers], 0)), 0))</f>
        <v/>
      </c>
      <c r="E277" s="30"/>
      <c r="F277" s="30"/>
      <c r="G277" s="30" t="str">
        <f>IF(B277=0,"",IF('Cumulative Volumes Imperial'!$AQ$17=FALSE,I277,H277))</f>
        <v/>
      </c>
      <c r="H277" s="30"/>
      <c r="I277" s="30"/>
      <c r="J277" s="30" t="str">
        <f>IF(B277="","",IF('Cumulative Volumes Imperial'!$AQ$17=FALSE,L277,K277))</f>
        <v/>
      </c>
      <c r="K277" s="30"/>
      <c r="L277" s="30"/>
      <c r="M277" s="30" t="str">
        <f>IF($E$8+45+$E$9&gt;989,"FALSE",IF(B277="","",IF('Cumulative Volumes Imperial'!$AQ$17=FALSE,O277,N277)))</f>
        <v/>
      </c>
      <c r="N277" s="30"/>
      <c r="O277" s="30" t="str">
        <f>IF(B277=0,"",IF('Cumulative Volumes Imperial'!$AQ$17=FALSE,(V277*$E$4)+(W277*$E$5),N277))</f>
        <v/>
      </c>
      <c r="P277" s="30" t="str">
        <f>IF(B277=0,"",(((1/12)*'Imperial Data'!$AC$4*'Imperial Data'!$AC$5)-C277)*$H$6)</f>
        <v/>
      </c>
      <c r="Q277" s="30"/>
      <c r="R277" s="30" t="str">
        <f>IF(B277=0,"",(((1/12)*'Imperial Data'!$AC$5*'Imperial Data'!$AC$7)-D277)*$H$6)</f>
        <v/>
      </c>
      <c r="S277" s="30"/>
      <c r="T277" s="30"/>
      <c r="U277" s="30"/>
      <c r="V277" s="30"/>
      <c r="W277" s="30" t="str">
        <f t="shared" si="64"/>
        <v/>
      </c>
      <c r="X277" s="31"/>
      <c r="Y277" s="30" t="str">
        <f t="shared" si="65"/>
        <v/>
      </c>
    </row>
    <row r="278" spans="2:25" x14ac:dyDescent="0.2">
      <c r="B278" s="34"/>
      <c r="C278" s="30" t="str">
        <f>IF(B278=0,"",IF('Imperial Data'!AG267&gt;=1, INDEX(Imperial_Incremental[], MATCH('Imperial Data'!AG267, Imperial_Incremental[Height], 1), MATCH('Cumulative Volumes Imperial'!$F$4, Imperial_Incremental[#Headers], 0)), 0))</f>
        <v/>
      </c>
      <c r="D278" s="30" t="str">
        <f>IF(B278=0,"",IF('Imperial Data'!AG267&gt;=1, INDEX(Imperial_Incremental[], MATCH('Imperial Data'!AG267, Imperial_Incremental[Height], 1), MATCH('Cumulative Volumes Imperial'!$F$4 &amp; "EC", Imperial_Incremental[#Headers], 0)), 0))</f>
        <v/>
      </c>
      <c r="E278" s="30"/>
      <c r="F278" s="30"/>
      <c r="G278" s="30" t="str">
        <f>IF(B278=0,"",IF('Cumulative Volumes Imperial'!$AQ$17=FALSE,I278,H278))</f>
        <v/>
      </c>
      <c r="H278" s="30"/>
      <c r="I278" s="30"/>
      <c r="J278" s="30" t="str">
        <f>IF(B278="","",IF('Cumulative Volumes Imperial'!$AQ$17=FALSE,L278,K278))</f>
        <v/>
      </c>
      <c r="K278" s="30"/>
      <c r="L278" s="30"/>
      <c r="M278" s="30" t="str">
        <f>IF($E$8+45+$E$9&gt;989,"FALSE",IF(B278="","",IF('Cumulative Volumes Imperial'!$AQ$17=FALSE,O278,N278)))</f>
        <v/>
      </c>
      <c r="N278" s="30"/>
      <c r="O278" s="30" t="str">
        <f>IF(B278=0,"",IF('Cumulative Volumes Imperial'!$AQ$17=FALSE,(V278*$E$4)+(W278*$E$5),N278))</f>
        <v/>
      </c>
      <c r="P278" s="30" t="str">
        <f>IF(B278=0,"",(((1/12)*'Imperial Data'!$AC$4*'Imperial Data'!$AC$5)-C278)*$H$6)</f>
        <v/>
      </c>
      <c r="Q278" s="30"/>
      <c r="R278" s="30" t="str">
        <f>IF(B278=0,"",(((1/12)*'Imperial Data'!$AC$5*'Imperial Data'!$AC$7)-D278)*$H$6)</f>
        <v/>
      </c>
      <c r="S278" s="30"/>
      <c r="T278" s="30"/>
      <c r="U278" s="30"/>
      <c r="V278" s="30"/>
      <c r="W278" s="30" t="str">
        <f t="shared" si="64"/>
        <v/>
      </c>
      <c r="X278" s="31"/>
      <c r="Y278" s="30" t="str">
        <f t="shared" si="65"/>
        <v/>
      </c>
    </row>
    <row r="279" spans="2:25" x14ac:dyDescent="0.2">
      <c r="B279" s="34"/>
      <c r="C279" s="30" t="str">
        <f>IF(B279=0,"",IF('Imperial Data'!AG268&gt;=1, INDEX(Imperial_Incremental[], MATCH('Imperial Data'!AG268, Imperial_Incremental[Height], 1), MATCH('Cumulative Volumes Imperial'!$F$4, Imperial_Incremental[#Headers], 0)), 0))</f>
        <v/>
      </c>
      <c r="D279" s="30" t="str">
        <f>IF(B279=0,"",IF('Imperial Data'!AG268&gt;=1, INDEX(Imperial_Incremental[], MATCH('Imperial Data'!AG268, Imperial_Incremental[Height], 1), MATCH('Cumulative Volumes Imperial'!$F$4 &amp; "EC", Imperial_Incremental[#Headers], 0)), 0))</f>
        <v/>
      </c>
      <c r="E279" s="30"/>
      <c r="F279" s="30"/>
      <c r="G279" s="30" t="str">
        <f>IF(B279=0,"",IF('Cumulative Volumes Imperial'!$AQ$17=FALSE,I279,H279))</f>
        <v/>
      </c>
      <c r="H279" s="30"/>
      <c r="I279" s="30"/>
      <c r="J279" s="30" t="str">
        <f>IF(B279="","",IF('Cumulative Volumes Imperial'!$AQ$17=FALSE,L279,K279))</f>
        <v/>
      </c>
      <c r="K279" s="30"/>
      <c r="L279" s="30"/>
      <c r="M279" s="30" t="str">
        <f>IF($E$8+45+$E$9&gt;989,"FALSE",IF(B279="","",IF('Cumulative Volumes Imperial'!$AQ$17=FALSE,O279,N279)))</f>
        <v/>
      </c>
      <c r="N279" s="30"/>
      <c r="O279" s="30" t="str">
        <f>IF(B279=0,"",IF('Cumulative Volumes Imperial'!$AQ$17=FALSE,(V279*$E$4)+(W279*$E$5),N279))</f>
        <v/>
      </c>
      <c r="P279" s="30" t="str">
        <f>IF(B279=0,"",(((1/12)*'Imperial Data'!$AC$4*'Imperial Data'!$AC$5)-C279)*$H$6)</f>
        <v/>
      </c>
      <c r="Q279" s="30"/>
      <c r="R279" s="30" t="str">
        <f>IF(B279=0,"",(((1/12)*'Imperial Data'!$AC$5*'Imperial Data'!$AC$7)-D279)*$H$6)</f>
        <v/>
      </c>
      <c r="S279" s="30"/>
      <c r="T279" s="30"/>
      <c r="U279" s="30"/>
      <c r="V279" s="30"/>
      <c r="W279" s="30" t="str">
        <f t="shared" si="64"/>
        <v/>
      </c>
      <c r="X279" s="31"/>
      <c r="Y279" s="30" t="str">
        <f t="shared" si="65"/>
        <v/>
      </c>
    </row>
    <row r="280" spans="2:25" x14ac:dyDescent="0.2">
      <c r="B280" s="34"/>
      <c r="C280" s="30" t="str">
        <f>IF(B280=0,"",IF('Imperial Data'!AG269&gt;=1, INDEX(Imperial_Incremental[], MATCH('Imperial Data'!AG269, Imperial_Incremental[Height], 1), MATCH('Cumulative Volumes Imperial'!$F$4, Imperial_Incremental[#Headers], 0)), 0))</f>
        <v/>
      </c>
      <c r="D280" s="30" t="str">
        <f>IF(B280=0,"",IF('Imperial Data'!AG269&gt;=1, INDEX(Imperial_Incremental[], MATCH('Imperial Data'!AG269, Imperial_Incremental[Height], 1), MATCH('Cumulative Volumes Imperial'!$F$4 &amp; "EC", Imperial_Incremental[#Headers], 0)), 0))</f>
        <v/>
      </c>
      <c r="E280" s="30"/>
      <c r="F280" s="30"/>
      <c r="G280" s="30" t="str">
        <f>IF(B280=0,"",IF('Cumulative Volumes Imperial'!$AQ$17=FALSE,I280,H280))</f>
        <v/>
      </c>
      <c r="H280" s="30"/>
      <c r="I280" s="30"/>
      <c r="J280" s="30" t="str">
        <f>IF(B280="","",IF('Cumulative Volumes Imperial'!$AQ$17=FALSE,L280,K280))</f>
        <v/>
      </c>
      <c r="K280" s="30"/>
      <c r="L280" s="30"/>
      <c r="M280" s="30" t="str">
        <f>IF($E$8+45+$E$9&gt;989,"FALSE",IF(B280="","",IF('Cumulative Volumes Imperial'!$AQ$17=FALSE,O280,N280)))</f>
        <v/>
      </c>
      <c r="N280" s="30"/>
      <c r="O280" s="30" t="str">
        <f>IF(B280=0,"",IF('Cumulative Volumes Imperial'!$AQ$17=FALSE,(V280*$E$4)+(W280*$E$5),N280))</f>
        <v/>
      </c>
      <c r="P280" s="30" t="str">
        <f>IF(B280=0,"",(((1/12)*'Imperial Data'!$AC$4*'Imperial Data'!$AC$5)-C280)*$H$6)</f>
        <v/>
      </c>
      <c r="Q280" s="30"/>
      <c r="R280" s="30" t="str">
        <f>IF(B280=0,"",(((1/12)*'Imperial Data'!$AC$5*'Imperial Data'!$AC$7)-D280)*$H$6)</f>
        <v/>
      </c>
      <c r="S280" s="30"/>
      <c r="T280" s="30"/>
      <c r="U280" s="30"/>
      <c r="V280" s="30"/>
      <c r="W280" s="30" t="str">
        <f t="shared" si="64"/>
        <v/>
      </c>
      <c r="X280" s="31"/>
      <c r="Y280" s="30" t="str">
        <f t="shared" si="65"/>
        <v/>
      </c>
    </row>
    <row r="281" spans="2:25" x14ac:dyDescent="0.2">
      <c r="B281" s="34"/>
      <c r="C281" s="30" t="str">
        <f>IF(B281=0,"",IF('Imperial Data'!AG270&gt;=1, INDEX(Imperial_Incremental[], MATCH('Imperial Data'!AG270, Imperial_Incremental[Height], 1), MATCH('Cumulative Volumes Imperial'!$F$4, Imperial_Incremental[#Headers], 0)), 0))</f>
        <v/>
      </c>
      <c r="D281" s="30" t="str">
        <f>IF(B281=0,"",IF('Imperial Data'!AG270&gt;=1, INDEX(Imperial_Incremental[], MATCH('Imperial Data'!AG270, Imperial_Incremental[Height], 1), MATCH('Cumulative Volumes Imperial'!$F$4 &amp; "EC", Imperial_Incremental[#Headers], 0)), 0))</f>
        <v/>
      </c>
      <c r="E281" s="30"/>
      <c r="F281" s="30"/>
      <c r="G281" s="30" t="str">
        <f>IF(B281=0,"",IF('Cumulative Volumes Imperial'!$AQ$17=FALSE,I281,H281))</f>
        <v/>
      </c>
      <c r="H281" s="30"/>
      <c r="I281" s="30"/>
      <c r="J281" s="30" t="str">
        <f>IF(B281="","",IF('Cumulative Volumes Imperial'!$AQ$17=FALSE,L281,K281))</f>
        <v/>
      </c>
      <c r="K281" s="30"/>
      <c r="L281" s="30"/>
      <c r="M281" s="30" t="str">
        <f>IF($E$8+45+$E$9&gt;989,"FALSE",IF(B281="","",IF('Cumulative Volumes Imperial'!$AQ$17=FALSE,O281,N281)))</f>
        <v/>
      </c>
      <c r="N281" s="30"/>
      <c r="O281" s="30" t="str">
        <f>IF(B281=0,"",IF('Cumulative Volumes Imperial'!$AQ$17=FALSE,(V281*$E$4)+(W281*$E$5),N281))</f>
        <v/>
      </c>
      <c r="P281" s="30" t="str">
        <f>IF(B281=0,"",(((1/12)*'Imperial Data'!$AC$4*'Imperial Data'!$AC$5)-C281)*$H$6)</f>
        <v/>
      </c>
      <c r="Q281" s="30"/>
      <c r="R281" s="30" t="str">
        <f>IF(B281=0,"",(((1/12)*'Imperial Data'!$AC$5*'Imperial Data'!$AC$7)-D281)*$H$6)</f>
        <v/>
      </c>
      <c r="S281" s="30"/>
      <c r="T281" s="30"/>
      <c r="U281" s="30"/>
      <c r="V281" s="30"/>
      <c r="W281" s="30" t="str">
        <f t="shared" si="64"/>
        <v/>
      </c>
      <c r="X281" s="31"/>
      <c r="Y281" s="30" t="str">
        <f t="shared" si="65"/>
        <v/>
      </c>
    </row>
    <row r="282" spans="2:25" x14ac:dyDescent="0.2">
      <c r="B282" s="34"/>
      <c r="C282" s="30" t="str">
        <f>IF(B282=0,"",IF('Imperial Data'!AG271&gt;=1, INDEX(Imperial_Incremental[], MATCH('Imperial Data'!AG271, Imperial_Incremental[Height], 1), MATCH('Cumulative Volumes Imperial'!$F$4, Imperial_Incremental[#Headers], 0)), 0))</f>
        <v/>
      </c>
      <c r="D282" s="30" t="str">
        <f>IF(B282=0,"",IF('Imperial Data'!AG271&gt;=1, INDEX(Imperial_Incremental[], MATCH('Imperial Data'!AG271, Imperial_Incremental[Height], 1), MATCH('Cumulative Volumes Imperial'!$F$4 &amp; "EC", Imperial_Incremental[#Headers], 0)), 0))</f>
        <v/>
      </c>
      <c r="E282" s="30"/>
      <c r="F282" s="30"/>
      <c r="G282" s="30" t="str">
        <f>IF(B282=0,"",IF('Cumulative Volumes Imperial'!$AQ$17=FALSE,I282,H282))</f>
        <v/>
      </c>
      <c r="H282" s="30"/>
      <c r="I282" s="30"/>
      <c r="J282" s="30" t="str">
        <f>IF(B282="","",IF('Cumulative Volumes Imperial'!$AQ$17=FALSE,L282,K282))</f>
        <v/>
      </c>
      <c r="K282" s="30"/>
      <c r="L282" s="30"/>
      <c r="M282" s="30" t="str">
        <f>IF($E$8+45+$E$9&gt;989,"FALSE",IF(B282="","",IF('Cumulative Volumes Imperial'!$AQ$17=FALSE,O282,N282)))</f>
        <v/>
      </c>
      <c r="N282" s="30"/>
      <c r="O282" s="30" t="str">
        <f>IF(B282=0,"",IF('Cumulative Volumes Imperial'!$AQ$17=FALSE,(V282*$E$4)+(W282*$E$5),N282))</f>
        <v/>
      </c>
      <c r="P282" s="30" t="str">
        <f>IF(B282=0,"",(((1/12)*'Imperial Data'!$AC$4*'Imperial Data'!$AC$5)-C282)*$H$6)</f>
        <v/>
      </c>
      <c r="Q282" s="30"/>
      <c r="R282" s="30" t="str">
        <f>IF(B282=0,"",(((1/12)*'Imperial Data'!$AC$5*'Imperial Data'!$AC$7)-D282)*$H$6)</f>
        <v/>
      </c>
      <c r="S282" s="30"/>
      <c r="T282" s="30"/>
      <c r="U282" s="30"/>
      <c r="V282" s="30"/>
      <c r="W282" s="30" t="str">
        <f t="shared" si="64"/>
        <v/>
      </c>
      <c r="X282" s="31"/>
      <c r="Y282" s="30" t="str">
        <f t="shared" si="65"/>
        <v/>
      </c>
    </row>
    <row r="283" spans="2:25" x14ac:dyDescent="0.2">
      <c r="B283" s="34"/>
      <c r="C283" s="30" t="str">
        <f>IF(B283=0,"",IF('Imperial Data'!AG272&gt;=1, INDEX(Imperial_Incremental[], MATCH('Imperial Data'!AG272, Imperial_Incremental[Height], 1), MATCH('Cumulative Volumes Imperial'!$F$4, Imperial_Incremental[#Headers], 0)), 0))</f>
        <v/>
      </c>
      <c r="D283" s="30" t="str">
        <f>IF(B283=0,"",IF('Imperial Data'!AG272&gt;=1, INDEX(Imperial_Incremental[], MATCH('Imperial Data'!AG272, Imperial_Incremental[Height], 1), MATCH('Cumulative Volumes Imperial'!$F$4 &amp; "EC", Imperial_Incremental[#Headers], 0)), 0))</f>
        <v/>
      </c>
      <c r="E283" s="30"/>
      <c r="F283" s="30"/>
      <c r="G283" s="30" t="str">
        <f>IF(B283=0,"",IF('Cumulative Volumes Imperial'!$AQ$17=FALSE,I283,H283))</f>
        <v/>
      </c>
      <c r="H283" s="30"/>
      <c r="I283" s="30"/>
      <c r="J283" s="30" t="str">
        <f>IF(B283="","",IF('Cumulative Volumes Imperial'!$AQ$17=FALSE,L283,K283))</f>
        <v/>
      </c>
      <c r="K283" s="30"/>
      <c r="L283" s="30"/>
      <c r="M283" s="30" t="str">
        <f>IF($E$8+45+$E$9&gt;989,"FALSE",IF(B283="","",IF('Cumulative Volumes Imperial'!$AQ$17=FALSE,O283,N283)))</f>
        <v/>
      </c>
      <c r="N283" s="30"/>
      <c r="O283" s="30" t="str">
        <f>IF(B283=0,"",IF('Cumulative Volumes Imperial'!$AQ$17=FALSE,(V283*$E$4)+(W283*$E$5),N283))</f>
        <v/>
      </c>
      <c r="P283" s="30" t="str">
        <f>IF(B283=0,"",(((1/12)*'Imperial Data'!$AC$4*'Imperial Data'!$AC$5)-C283)*$H$6)</f>
        <v/>
      </c>
      <c r="Q283" s="30"/>
      <c r="R283" s="30" t="str">
        <f>IF(B283=0,"",(((1/12)*'Imperial Data'!$AC$5*'Imperial Data'!$AC$7)-D283)*$H$6)</f>
        <v/>
      </c>
      <c r="S283" s="30"/>
      <c r="T283" s="30"/>
      <c r="U283" s="30"/>
      <c r="V283" s="30"/>
      <c r="W283" s="30" t="str">
        <f t="shared" si="64"/>
        <v/>
      </c>
      <c r="X283" s="31"/>
      <c r="Y283" s="30" t="str">
        <f t="shared" si="65"/>
        <v/>
      </c>
    </row>
    <row r="284" spans="2:25" x14ac:dyDescent="0.2">
      <c r="B284" s="34"/>
      <c r="C284" s="30" t="str">
        <f>IF(B284=0,"",IF('Imperial Data'!AG273&gt;=1, INDEX(Imperial_Incremental[], MATCH('Imperial Data'!AG273, Imperial_Incremental[Height], 1), MATCH('Cumulative Volumes Imperial'!$F$4, Imperial_Incremental[#Headers], 0)), 0))</f>
        <v/>
      </c>
      <c r="D284" s="30" t="str">
        <f>IF(B284=0,"",IF('Imperial Data'!AG273&gt;=1, INDEX(Imperial_Incremental[], MATCH('Imperial Data'!AG273, Imperial_Incremental[Height], 1), MATCH('Cumulative Volumes Imperial'!$F$4 &amp; "EC", Imperial_Incremental[#Headers], 0)), 0))</f>
        <v/>
      </c>
      <c r="E284" s="30"/>
      <c r="F284" s="30"/>
      <c r="G284" s="30" t="str">
        <f>IF(B284=0,"",IF('Cumulative Volumes Imperial'!$AQ$17=FALSE,I284,H284))</f>
        <v/>
      </c>
      <c r="H284" s="30"/>
      <c r="I284" s="30"/>
      <c r="J284" s="30" t="str">
        <f>IF(B284="","",IF('Cumulative Volumes Imperial'!$AQ$17=FALSE,L284,K284))</f>
        <v/>
      </c>
      <c r="K284" s="30"/>
      <c r="L284" s="30"/>
      <c r="M284" s="30" t="str">
        <f>IF($E$8+45+$E$9&gt;989,"FALSE",IF(B284="","",IF('Cumulative Volumes Imperial'!$AQ$17=FALSE,O284,N284)))</f>
        <v/>
      </c>
      <c r="N284" s="30"/>
      <c r="O284" s="30" t="str">
        <f>IF(B284=0,"",IF('Cumulative Volumes Imperial'!$AQ$17=FALSE,(V284*$E$4)+(W284*$E$5),N284))</f>
        <v/>
      </c>
      <c r="P284" s="30" t="str">
        <f>IF(B284=0,"",(((1/12)*'Imperial Data'!$AC$4*'Imperial Data'!$AC$5)-C284)*$H$6)</f>
        <v/>
      </c>
      <c r="Q284" s="30"/>
      <c r="R284" s="30" t="str">
        <f>IF(B284=0,"",(((1/12)*'Imperial Data'!$AC$5*'Imperial Data'!$AC$7)-D284)*$H$6)</f>
        <v/>
      </c>
      <c r="S284" s="30"/>
      <c r="T284" s="30"/>
      <c r="U284" s="30"/>
      <c r="V284" s="30"/>
      <c r="W284" s="30" t="str">
        <f t="shared" si="64"/>
        <v/>
      </c>
      <c r="X284" s="31"/>
      <c r="Y284" s="30" t="str">
        <f t="shared" si="65"/>
        <v/>
      </c>
    </row>
    <row r="285" spans="2:25" x14ac:dyDescent="0.2">
      <c r="B285" s="34"/>
      <c r="C285" s="30" t="str">
        <f>IF(B285=0,"",IF('Imperial Data'!AG274&gt;=1, INDEX(Imperial_Incremental[], MATCH('Imperial Data'!AG274, Imperial_Incremental[Height], 1), MATCH('Cumulative Volumes Imperial'!$F$4, Imperial_Incremental[#Headers], 0)), 0))</f>
        <v/>
      </c>
      <c r="D285" s="30" t="str">
        <f>IF(B285=0,"",IF('Imperial Data'!AG274&gt;=1, INDEX(Imperial_Incremental[], MATCH('Imperial Data'!AG274, Imperial_Incremental[Height], 1), MATCH('Cumulative Volumes Imperial'!$F$4 &amp; "EC", Imperial_Incremental[#Headers], 0)), 0))</f>
        <v/>
      </c>
      <c r="E285" s="30"/>
      <c r="F285" s="30"/>
      <c r="G285" s="30" t="str">
        <f>IF(B285=0,"",IF('Cumulative Volumes Imperial'!$AQ$17=FALSE,I285,H285))</f>
        <v/>
      </c>
      <c r="H285" s="30"/>
      <c r="I285" s="30"/>
      <c r="J285" s="30" t="str">
        <f>IF(B285="","",IF('Cumulative Volumes Imperial'!$AQ$17=FALSE,L285,K285))</f>
        <v/>
      </c>
      <c r="K285" s="30"/>
      <c r="L285" s="30"/>
      <c r="M285" s="30" t="str">
        <f>IF($E$8+45+$E$9&gt;989,"FALSE",IF(B285="","",IF('Cumulative Volumes Imperial'!$AQ$17=FALSE,O285,N285)))</f>
        <v/>
      </c>
      <c r="N285" s="30"/>
      <c r="O285" s="30" t="str">
        <f>IF(B285=0,"",IF('Cumulative Volumes Imperial'!$AQ$17=FALSE,(V285*$E$4)+(W285*$E$5),N285))</f>
        <v/>
      </c>
      <c r="P285" s="30" t="str">
        <f>IF(B285=0,"",(((1/12)*'Imperial Data'!$AC$4*'Imperial Data'!$AC$5)-C285)*$H$6)</f>
        <v/>
      </c>
      <c r="Q285" s="30"/>
      <c r="R285" s="30" t="str">
        <f>IF(B285=0,"",(((1/12)*'Imperial Data'!$AC$5*'Imperial Data'!$AC$7)-D285)*$H$6)</f>
        <v/>
      </c>
      <c r="S285" s="30"/>
      <c r="T285" s="30"/>
      <c r="U285" s="30"/>
      <c r="V285" s="30"/>
      <c r="W285" s="30" t="str">
        <f t="shared" si="64"/>
        <v/>
      </c>
      <c r="X285" s="31"/>
      <c r="Y285" s="30" t="str">
        <f t="shared" si="65"/>
        <v/>
      </c>
    </row>
    <row r="286" spans="2:25" x14ac:dyDescent="0.2">
      <c r="B286" s="34"/>
      <c r="C286" s="30" t="str">
        <f>IF(B286=0,"",IF('Imperial Data'!AG275&gt;=1, INDEX(Imperial_Incremental[], MATCH('Imperial Data'!AG275, Imperial_Incremental[Height], 1), MATCH('Cumulative Volumes Imperial'!$F$4, Imperial_Incremental[#Headers], 0)), 0))</f>
        <v/>
      </c>
      <c r="D286" s="30" t="str">
        <f>IF(B286=0,"",IF('Imperial Data'!AG275&gt;=1, INDEX(Imperial_Incremental[], MATCH('Imperial Data'!AG275, Imperial_Incremental[Height], 1), MATCH('Cumulative Volumes Imperial'!$F$4 &amp; "EC", Imperial_Incremental[#Headers], 0)), 0))</f>
        <v/>
      </c>
      <c r="E286" s="30"/>
      <c r="F286" s="30"/>
      <c r="G286" s="30" t="str">
        <f>IF(B286=0,"",IF('Cumulative Volumes Imperial'!$AQ$17=FALSE,I286,H286))</f>
        <v/>
      </c>
      <c r="H286" s="30"/>
      <c r="I286" s="30"/>
      <c r="J286" s="30" t="str">
        <f>IF(B286="","",IF('Cumulative Volumes Imperial'!$AQ$17=FALSE,L286,K286))</f>
        <v/>
      </c>
      <c r="K286" s="30"/>
      <c r="L286" s="30"/>
      <c r="M286" s="30" t="str">
        <f>IF($E$8+45+$E$9&gt;989,"FALSE",IF(B286="","",IF('Cumulative Volumes Imperial'!$AQ$17=FALSE,O286,N286)))</f>
        <v/>
      </c>
      <c r="N286" s="30"/>
      <c r="O286" s="30" t="str">
        <f>IF(B286=0,"",IF('Cumulative Volumes Imperial'!$AQ$17=FALSE,(V286*$E$4)+(W286*$E$5),N286))</f>
        <v/>
      </c>
      <c r="P286" s="30" t="str">
        <f>IF(B286=0,"",(((1/12)*'Imperial Data'!$AC$4*'Imperial Data'!$AC$5)-C286)*$H$6)</f>
        <v/>
      </c>
      <c r="Q286" s="30"/>
      <c r="R286" s="30" t="str">
        <f>IF(B286=0,"",(((1/12)*'Imperial Data'!$AC$5*'Imperial Data'!$AC$7)-D286)*$H$6)</f>
        <v/>
      </c>
      <c r="S286" s="30"/>
      <c r="T286" s="30"/>
      <c r="U286" s="30"/>
      <c r="V286" s="30"/>
      <c r="W286" s="30" t="str">
        <f t="shared" si="64"/>
        <v/>
      </c>
      <c r="X286" s="31"/>
      <c r="Y286" s="30" t="str">
        <f t="shared" si="65"/>
        <v/>
      </c>
    </row>
    <row r="287" spans="2:25" x14ac:dyDescent="0.2">
      <c r="B287" s="34"/>
      <c r="C287" s="30" t="str">
        <f>IF(B287=0,"",IF('Imperial Data'!AG276&gt;=1, INDEX(Imperial_Incremental[], MATCH('Imperial Data'!AG276, Imperial_Incremental[Height], 1), MATCH('Cumulative Volumes Imperial'!$F$4, Imperial_Incremental[#Headers], 0)), 0))</f>
        <v/>
      </c>
      <c r="D287" s="30" t="str">
        <f>IF(B287=0,"",IF('Imperial Data'!AG276&gt;=1, INDEX(Imperial_Incremental[], MATCH('Imperial Data'!AG276, Imperial_Incremental[Height], 1), MATCH('Cumulative Volumes Imperial'!$F$4 &amp; "EC", Imperial_Incremental[#Headers], 0)), 0))</f>
        <v/>
      </c>
      <c r="E287" s="30"/>
      <c r="F287" s="30"/>
      <c r="G287" s="30" t="str">
        <f>IF(B287=0,"",IF('Cumulative Volumes Imperial'!$AQ$17=FALSE,I287,H287))</f>
        <v/>
      </c>
      <c r="H287" s="30"/>
      <c r="I287" s="30"/>
      <c r="J287" s="30" t="str">
        <f>IF(B287="","",IF('Cumulative Volumes Imperial'!$AQ$17=FALSE,L287,K287))</f>
        <v/>
      </c>
      <c r="K287" s="30"/>
      <c r="L287" s="30"/>
      <c r="M287" s="30" t="str">
        <f>IF($E$8+45+$E$9&gt;989,"FALSE",IF(B287="","",IF('Cumulative Volumes Imperial'!$AQ$17=FALSE,O287,N287)))</f>
        <v/>
      </c>
      <c r="N287" s="30"/>
      <c r="O287" s="30" t="str">
        <f>IF(B287=0,"",IF('Cumulative Volumes Imperial'!$AQ$17=FALSE,(V287*$E$4)+(W287*$E$5),N287))</f>
        <v/>
      </c>
      <c r="P287" s="30" t="str">
        <f>IF(B287=0,"",(((1/12)*'Imperial Data'!$AC$4*'Imperial Data'!$AC$5)-C287)*$H$6)</f>
        <v/>
      </c>
      <c r="Q287" s="30"/>
      <c r="R287" s="30" t="str">
        <f>IF(B287=0,"",(((1/12)*'Imperial Data'!$AC$5*'Imperial Data'!$AC$7)-D287)*$H$6)</f>
        <v/>
      </c>
      <c r="S287" s="30"/>
      <c r="T287" s="30"/>
      <c r="U287" s="30"/>
      <c r="V287" s="30"/>
      <c r="W287" s="30" t="str">
        <f t="shared" si="64"/>
        <v/>
      </c>
      <c r="X287" s="31"/>
      <c r="Y287" s="30" t="str">
        <f t="shared" si="65"/>
        <v/>
      </c>
    </row>
    <row r="288" spans="2:25" x14ac:dyDescent="0.2">
      <c r="B288" s="34"/>
      <c r="C288" s="30" t="str">
        <f>IF(B288=0,"",IF('Imperial Data'!AG277&gt;=1, INDEX(Imperial_Incremental[], MATCH('Imperial Data'!AG277, Imperial_Incremental[Height], 1), MATCH('Cumulative Volumes Imperial'!$F$4, Imperial_Incremental[#Headers], 0)), 0))</f>
        <v/>
      </c>
      <c r="D288" s="30" t="str">
        <f>IF(B288=0,"",IF('Imperial Data'!AG277&gt;=1, INDEX(Imperial_Incremental[], MATCH('Imperial Data'!AG277, Imperial_Incremental[Height], 1), MATCH('Cumulative Volumes Imperial'!$F$4 &amp; "EC", Imperial_Incremental[#Headers], 0)), 0))</f>
        <v/>
      </c>
      <c r="E288" s="30"/>
      <c r="F288" s="30"/>
      <c r="G288" s="30" t="str">
        <f>IF(B288=0,"",IF('Cumulative Volumes Imperial'!$AQ$17=FALSE,I288,H288))</f>
        <v/>
      </c>
      <c r="H288" s="30"/>
      <c r="I288" s="30"/>
      <c r="J288" s="30" t="str">
        <f>IF(B288="","",IF('Cumulative Volumes Imperial'!$AQ$17=FALSE,L288,K288))</f>
        <v/>
      </c>
      <c r="K288" s="30"/>
      <c r="L288" s="30"/>
      <c r="M288" s="30" t="str">
        <f>IF($E$8+45+$E$9&gt;989,"FALSE",IF(B288="","",IF('Cumulative Volumes Imperial'!$AQ$17=FALSE,O288,N288)))</f>
        <v/>
      </c>
      <c r="N288" s="30"/>
      <c r="O288" s="30" t="str">
        <f>IF(B288=0,"",IF('Cumulative Volumes Imperial'!$AQ$17=FALSE,(V288*$E$4)+(W288*$E$5),N288))</f>
        <v/>
      </c>
      <c r="P288" s="30" t="str">
        <f>IF(B288=0,"",(((1/12)*'Imperial Data'!$AC$4*'Imperial Data'!$AC$5)-C288)*$H$6)</f>
        <v/>
      </c>
      <c r="Q288" s="30"/>
      <c r="R288" s="30" t="str">
        <f>IF(B288=0,"",(((1/12)*'Imperial Data'!$AC$5*'Imperial Data'!$AC$7)-D288)*$H$6)</f>
        <v/>
      </c>
      <c r="S288" s="30"/>
      <c r="T288" s="30"/>
      <c r="U288" s="30"/>
      <c r="V288" s="30"/>
      <c r="W288" s="30" t="str">
        <f t="shared" si="64"/>
        <v/>
      </c>
      <c r="X288" s="31"/>
      <c r="Y288" s="30" t="str">
        <f t="shared" si="65"/>
        <v/>
      </c>
    </row>
    <row r="289" spans="2:25" x14ac:dyDescent="0.2">
      <c r="B289" s="34"/>
      <c r="C289" s="30" t="str">
        <f>IF(B289=0,"",IF('Imperial Data'!AG278&gt;=1, INDEX(Imperial_Incremental[], MATCH('Imperial Data'!AG278, Imperial_Incremental[Height], 1), MATCH('Cumulative Volumes Imperial'!$F$4, Imperial_Incremental[#Headers], 0)), 0))</f>
        <v/>
      </c>
      <c r="D289" s="30" t="str">
        <f>IF(B289=0,"",IF('Imperial Data'!AG278&gt;=1, INDEX(Imperial_Incremental[], MATCH('Imperial Data'!AG278, Imperial_Incremental[Height], 1), MATCH('Cumulative Volumes Imperial'!$F$4 &amp; "EC", Imperial_Incremental[#Headers], 0)), 0))</f>
        <v/>
      </c>
      <c r="E289" s="30"/>
      <c r="F289" s="30"/>
      <c r="G289" s="30" t="str">
        <f>IF(B289=0,"",IF('Cumulative Volumes Imperial'!$AQ$17=FALSE,I289,H289))</f>
        <v/>
      </c>
      <c r="H289" s="30"/>
      <c r="I289" s="30"/>
      <c r="J289" s="30" t="str">
        <f>IF(B289="","",IF('Cumulative Volumes Imperial'!$AQ$17=FALSE,L289,K289))</f>
        <v/>
      </c>
      <c r="K289" s="30"/>
      <c r="L289" s="30"/>
      <c r="M289" s="30" t="str">
        <f>IF($E$8+45+$E$9&gt;989,"FALSE",IF(B289="","",IF('Cumulative Volumes Imperial'!$AQ$17=FALSE,O289,N289)))</f>
        <v/>
      </c>
      <c r="N289" s="30"/>
      <c r="O289" s="30" t="str">
        <f>IF(B289=0,"",IF('Cumulative Volumes Imperial'!$AQ$17=FALSE,(V289*$E$4)+(W289*$E$5),N289))</f>
        <v/>
      </c>
      <c r="P289" s="30" t="str">
        <f>IF(B289=0,"",(((1/12)*'Imperial Data'!$AC$4*'Imperial Data'!$AC$5)-C289)*$H$6)</f>
        <v/>
      </c>
      <c r="Q289" s="30"/>
      <c r="R289" s="30" t="str">
        <f>IF(B289=0,"",(((1/12)*'Imperial Data'!$AC$5*'Imperial Data'!$AC$7)-D289)*$H$6)</f>
        <v/>
      </c>
      <c r="S289" s="30"/>
      <c r="T289" s="30"/>
      <c r="U289" s="30"/>
      <c r="V289" s="30"/>
      <c r="W289" s="30" t="str">
        <f t="shared" si="64"/>
        <v/>
      </c>
      <c r="X289" s="31"/>
      <c r="Y289" s="30" t="str">
        <f t="shared" si="65"/>
        <v/>
      </c>
    </row>
    <row r="290" spans="2:25" x14ac:dyDescent="0.2">
      <c r="B290" s="34"/>
      <c r="C290" s="30" t="str">
        <f>IF(B290=0,"",IF('Imperial Data'!AG279&gt;=1, INDEX(Imperial_Incremental[], MATCH('Imperial Data'!AG279, Imperial_Incremental[Height], 1), MATCH('Cumulative Volumes Imperial'!$F$4, Imperial_Incremental[#Headers], 0)), 0))</f>
        <v/>
      </c>
      <c r="D290" s="30" t="str">
        <f>IF(B290=0,"",IF('Imperial Data'!AG279&gt;=1, INDEX(Imperial_Incremental[], MATCH('Imperial Data'!AG279, Imperial_Incremental[Height], 1), MATCH('Cumulative Volumes Imperial'!$F$4 &amp; "EC", Imperial_Incremental[#Headers], 0)), 0))</f>
        <v/>
      </c>
      <c r="E290" s="30"/>
      <c r="F290" s="30"/>
      <c r="G290" s="30" t="str">
        <f>IF(B290=0,"",IF('Cumulative Volumes Imperial'!$AQ$17=FALSE,I290,H290))</f>
        <v/>
      </c>
      <c r="H290" s="30"/>
      <c r="I290" s="30"/>
      <c r="J290" s="30" t="str">
        <f>IF(B290="","",IF('Cumulative Volumes Imperial'!$AQ$17=FALSE,L290,K290))</f>
        <v/>
      </c>
      <c r="K290" s="30"/>
      <c r="L290" s="30"/>
      <c r="M290" s="30" t="str">
        <f>IF($E$8+45+$E$9&gt;989,"FALSE",IF(B290="","",IF('Cumulative Volumes Imperial'!$AQ$17=FALSE,O290,N290)))</f>
        <v/>
      </c>
      <c r="N290" s="30"/>
      <c r="O290" s="30" t="str">
        <f>IF(B290=0,"",IF('Cumulative Volumes Imperial'!$AQ$17=FALSE,(V290*$E$4)+(W290*$E$5),N290))</f>
        <v/>
      </c>
      <c r="P290" s="30" t="str">
        <f>IF(B290=0,"",(((1/12)*'Imperial Data'!$AC$4*'Imperial Data'!$AC$5)-C290)*$H$6)</f>
        <v/>
      </c>
      <c r="Q290" s="30"/>
      <c r="R290" s="30" t="str">
        <f>IF(B290=0,"",(((1/12)*'Imperial Data'!$AC$5*'Imperial Data'!$AC$7)-D290)*$H$6)</f>
        <v/>
      </c>
      <c r="S290" s="30"/>
      <c r="T290" s="30"/>
      <c r="U290" s="30"/>
      <c r="V290" s="30"/>
      <c r="W290" s="30" t="str">
        <f t="shared" si="64"/>
        <v/>
      </c>
      <c r="X290" s="31"/>
      <c r="Y290" s="30" t="str">
        <f t="shared" si="65"/>
        <v/>
      </c>
    </row>
    <row r="291" spans="2:25" x14ac:dyDescent="0.2">
      <c r="B291" s="34"/>
      <c r="C291" s="30" t="str">
        <f>IF(B291=0,"",IF('Imperial Data'!AG280&gt;=1, INDEX(Imperial_Incremental[], MATCH('Imperial Data'!AG280, Imperial_Incremental[Height], 1), MATCH('Cumulative Volumes Imperial'!$F$4, Imperial_Incremental[#Headers], 0)), 0))</f>
        <v/>
      </c>
      <c r="D291" s="30" t="str">
        <f>IF(B291=0,"",IF('Imperial Data'!AG280&gt;=1, INDEX(Imperial_Incremental[], MATCH('Imperial Data'!AG280, Imperial_Incremental[Height], 1), MATCH('Cumulative Volumes Imperial'!$F$4 &amp; "EC", Imperial_Incremental[#Headers], 0)), 0))</f>
        <v/>
      </c>
      <c r="E291" s="30"/>
      <c r="F291" s="30"/>
      <c r="G291" s="30" t="str">
        <f>IF(B291=0,"",IF('Cumulative Volumes Imperial'!$AQ$17=FALSE,I291,H291))</f>
        <v/>
      </c>
      <c r="H291" s="30"/>
      <c r="I291" s="30"/>
      <c r="J291" s="30" t="str">
        <f>IF(B291="","",IF('Cumulative Volumes Imperial'!$AQ$17=FALSE,L291,K291))</f>
        <v/>
      </c>
      <c r="K291" s="30"/>
      <c r="L291" s="30"/>
      <c r="M291" s="30" t="str">
        <f>IF($E$8+45+$E$9&gt;989,"FALSE",IF(B291="","",IF('Cumulative Volumes Imperial'!$AQ$17=FALSE,O291,N291)))</f>
        <v/>
      </c>
      <c r="N291" s="30"/>
      <c r="O291" s="30" t="str">
        <f>IF(B291=0,"",IF('Cumulative Volumes Imperial'!$AQ$17=FALSE,(V291*$E$4)+(W291*$E$5),N291))</f>
        <v/>
      </c>
      <c r="P291" s="30" t="str">
        <f>IF(B291=0,"",(((1/12)*'Imperial Data'!$AC$4*'Imperial Data'!$AC$5)-C291)*$H$6)</f>
        <v/>
      </c>
      <c r="Q291" s="30"/>
      <c r="R291" s="30" t="str">
        <f>IF(B291=0,"",(((1/12)*'Imperial Data'!$AC$5*'Imperial Data'!$AC$7)-D291)*$H$6)</f>
        <v/>
      </c>
      <c r="S291" s="30"/>
      <c r="T291" s="30"/>
      <c r="U291" s="30"/>
      <c r="V291" s="30"/>
      <c r="W291" s="30" t="str">
        <f t="shared" si="64"/>
        <v/>
      </c>
      <c r="X291" s="31"/>
      <c r="Y291" s="30" t="str">
        <f t="shared" si="65"/>
        <v/>
      </c>
    </row>
    <row r="292" spans="2:25" x14ac:dyDescent="0.2">
      <c r="B292" s="34"/>
      <c r="C292" s="30" t="str">
        <f>IF(B292=0,"",IF('Imperial Data'!AG281&gt;=1, INDEX(Imperial_Incremental[], MATCH('Imperial Data'!AG281, Imperial_Incremental[Height], 1), MATCH('Cumulative Volumes Imperial'!$F$4, Imperial_Incremental[#Headers], 0)), 0))</f>
        <v/>
      </c>
      <c r="D292" s="30" t="str">
        <f>IF(B292=0,"",IF('Imperial Data'!AG281&gt;=1, INDEX(Imperial_Incremental[], MATCH('Imperial Data'!AG281, Imperial_Incremental[Height], 1), MATCH('Cumulative Volumes Imperial'!$F$4 &amp; "EC", Imperial_Incremental[#Headers], 0)), 0))</f>
        <v/>
      </c>
      <c r="E292" s="30"/>
      <c r="F292" s="30"/>
      <c r="G292" s="30" t="str">
        <f>IF(B292=0,"",IF('Cumulative Volumes Imperial'!$AQ$17=FALSE,I292,H292))</f>
        <v/>
      </c>
      <c r="H292" s="30"/>
      <c r="I292" s="30"/>
      <c r="J292" s="30" t="str">
        <f>IF(B292="","",IF('Cumulative Volumes Imperial'!$AQ$17=FALSE,L292,K292))</f>
        <v/>
      </c>
      <c r="K292" s="30"/>
      <c r="L292" s="30"/>
      <c r="M292" s="30" t="str">
        <f>IF($E$8+45+$E$9&gt;989,"FALSE",IF(B292="","",IF('Cumulative Volumes Imperial'!$AQ$17=FALSE,O292,N292)))</f>
        <v/>
      </c>
      <c r="N292" s="30"/>
      <c r="O292" s="30" t="str">
        <f>IF(B292=0,"",IF('Cumulative Volumes Imperial'!$AQ$17=FALSE,(V292*$E$4)+(W292*$E$5),N292))</f>
        <v/>
      </c>
      <c r="P292" s="30" t="str">
        <f>IF(B292=0,"",(((1/12)*'Imperial Data'!$AC$4*'Imperial Data'!$AC$5)-C292)*$H$6)</f>
        <v/>
      </c>
      <c r="Q292" s="30"/>
      <c r="R292" s="30" t="str">
        <f>IF(B292=0,"",(((1/12)*'Imperial Data'!$AC$5*'Imperial Data'!$AC$7)-D292)*$H$6)</f>
        <v/>
      </c>
      <c r="S292" s="30"/>
      <c r="T292" s="30"/>
      <c r="U292" s="30"/>
      <c r="V292" s="30"/>
      <c r="W292" s="30" t="str">
        <f t="shared" si="64"/>
        <v/>
      </c>
      <c r="X292" s="31"/>
      <c r="Y292" s="30" t="str">
        <f t="shared" si="65"/>
        <v/>
      </c>
    </row>
    <row r="293" spans="2:25" x14ac:dyDescent="0.2">
      <c r="B293" s="34"/>
      <c r="C293" s="30" t="str">
        <f>IF(B293=0,"",IF('Imperial Data'!AG282&gt;=1, INDEX(Imperial_Incremental[], MATCH('Imperial Data'!AG282, Imperial_Incremental[Height], 1), MATCH('Cumulative Volumes Imperial'!$F$4, Imperial_Incremental[#Headers], 0)), 0))</f>
        <v/>
      </c>
      <c r="D293" s="30" t="str">
        <f>IF(B293=0,"",IF('Imperial Data'!AG282&gt;=1, INDEX(Imperial_Incremental[], MATCH('Imperial Data'!AG282, Imperial_Incremental[Height], 1), MATCH('Cumulative Volumes Imperial'!$F$4 &amp; "EC", Imperial_Incremental[#Headers], 0)), 0))</f>
        <v/>
      </c>
      <c r="E293" s="30"/>
      <c r="F293" s="30"/>
      <c r="G293" s="30" t="str">
        <f>IF(B293=0,"",IF('Cumulative Volumes Imperial'!$AQ$17=FALSE,I293,H293))</f>
        <v/>
      </c>
      <c r="H293" s="30"/>
      <c r="I293" s="30"/>
      <c r="J293" s="30" t="str">
        <f>IF(B293="","",IF('Cumulative Volumes Imperial'!$AQ$17=FALSE,L293,K293))</f>
        <v/>
      </c>
      <c r="K293" s="30"/>
      <c r="L293" s="30"/>
      <c r="M293" s="30" t="str">
        <f>IF($E$8+45+$E$9&gt;989,"FALSE",IF(B293="","",IF('Cumulative Volumes Imperial'!$AQ$17=FALSE,O293,N293)))</f>
        <v/>
      </c>
      <c r="N293" s="30"/>
      <c r="O293" s="30" t="str">
        <f>IF(B293=0,"",IF('Cumulative Volumes Imperial'!$AQ$17=FALSE,(V293*$E$4)+(W293*$E$5),N293))</f>
        <v/>
      </c>
      <c r="P293" s="30" t="str">
        <f>IF(B293=0,"",(((1/12)*'Imperial Data'!$AC$4*'Imperial Data'!$AC$5)-C293)*$H$6)</f>
        <v/>
      </c>
      <c r="Q293" s="30"/>
      <c r="R293" s="30" t="str">
        <f>IF(B293=0,"",(((1/12)*'Imperial Data'!$AC$5*'Imperial Data'!$AC$7)-D293)*$H$6)</f>
        <v/>
      </c>
      <c r="S293" s="30"/>
      <c r="T293" s="30"/>
      <c r="U293" s="30"/>
      <c r="V293" s="30"/>
      <c r="W293" s="30" t="str">
        <f t="shared" si="64"/>
        <v/>
      </c>
      <c r="X293" s="31"/>
      <c r="Y293" s="30" t="str">
        <f t="shared" si="65"/>
        <v/>
      </c>
    </row>
    <row r="294" spans="2:25" x14ac:dyDescent="0.2">
      <c r="B294" s="34"/>
      <c r="C294" s="30" t="str">
        <f>IF(B294=0,"",IF('Imperial Data'!AG283&gt;=1, INDEX(Imperial_Incremental[], MATCH('Imperial Data'!AG283, Imperial_Incremental[Height], 1), MATCH('Cumulative Volumes Imperial'!$F$4, Imperial_Incremental[#Headers], 0)), 0))</f>
        <v/>
      </c>
      <c r="D294" s="30" t="str">
        <f>IF(B294=0,"",IF('Imperial Data'!AG283&gt;=1, INDEX(Imperial_Incremental[], MATCH('Imperial Data'!AG283, Imperial_Incremental[Height], 1), MATCH('Cumulative Volumes Imperial'!$F$4 &amp; "EC", Imperial_Incremental[#Headers], 0)), 0))</f>
        <v/>
      </c>
      <c r="E294" s="30"/>
      <c r="F294" s="30"/>
      <c r="G294" s="30" t="str">
        <f>IF(B294=0,"",IF('Cumulative Volumes Imperial'!$AQ$17=FALSE,I294,H294))</f>
        <v/>
      </c>
      <c r="H294" s="30"/>
      <c r="I294" s="30"/>
      <c r="J294" s="30" t="str">
        <f>IF(B294="","",IF('Cumulative Volumes Imperial'!$AQ$17=FALSE,L294,K294))</f>
        <v/>
      </c>
      <c r="K294" s="30"/>
      <c r="L294" s="30"/>
      <c r="M294" s="30" t="str">
        <f>IF($E$8+45+$E$9&gt;989,"FALSE",IF(B294="","",IF('Cumulative Volumes Imperial'!$AQ$17=FALSE,O294,N294)))</f>
        <v/>
      </c>
      <c r="N294" s="30"/>
      <c r="O294" s="30" t="str">
        <f>IF(B294=0,"",IF('Cumulative Volumes Imperial'!$AQ$17=FALSE,(V294*$E$4)+(W294*$E$5),N294))</f>
        <v/>
      </c>
      <c r="P294" s="30" t="str">
        <f>IF(B294=0,"",(((1/12)*'Imperial Data'!$AC$4*'Imperial Data'!$AC$5)-C294)*$H$6)</f>
        <v/>
      </c>
      <c r="Q294" s="30"/>
      <c r="R294" s="30" t="str">
        <f>IF(B294=0,"",(((1/12)*'Imperial Data'!$AC$5*'Imperial Data'!$AC$7)-D294)*$H$6)</f>
        <v/>
      </c>
      <c r="S294" s="30"/>
      <c r="T294" s="30"/>
      <c r="U294" s="30"/>
      <c r="V294" s="30"/>
      <c r="W294" s="30" t="str">
        <f t="shared" si="64"/>
        <v/>
      </c>
      <c r="X294" s="31"/>
      <c r="Y294" s="30" t="str">
        <f t="shared" si="65"/>
        <v/>
      </c>
    </row>
    <row r="295" spans="2:25" x14ac:dyDescent="0.2">
      <c r="B295" s="34"/>
      <c r="C295" s="30" t="str">
        <f>IF(B295=0,"",IF('Imperial Data'!AG284&gt;=1, INDEX(Imperial_Incremental[], MATCH('Imperial Data'!AG284, Imperial_Incremental[Height], 1), MATCH('Cumulative Volumes Imperial'!$F$4, Imperial_Incremental[#Headers], 0)), 0))</f>
        <v/>
      </c>
      <c r="D295" s="30" t="str">
        <f>IF(B295=0,"",IF('Imperial Data'!AG284&gt;=1, INDEX(Imperial_Incremental[], MATCH('Imperial Data'!AG284, Imperial_Incremental[Height], 1), MATCH('Cumulative Volumes Imperial'!$F$4 &amp; "EC", Imperial_Incremental[#Headers], 0)), 0))</f>
        <v/>
      </c>
      <c r="E295" s="30"/>
      <c r="F295" s="30"/>
      <c r="G295" s="30" t="str">
        <f>IF(B295=0,"",IF('Cumulative Volumes Imperial'!$AQ$17=FALSE,I295,H295))</f>
        <v/>
      </c>
      <c r="H295" s="30"/>
      <c r="I295" s="30"/>
      <c r="J295" s="30" t="str">
        <f>IF(B295="","",IF('Cumulative Volumes Imperial'!$AQ$17=FALSE,L295,K295))</f>
        <v/>
      </c>
      <c r="K295" s="30"/>
      <c r="L295" s="30"/>
      <c r="M295" s="30" t="str">
        <f>IF($E$8+45+$E$9&gt;989,"FALSE",IF(B295="","",IF('Cumulative Volumes Imperial'!$AQ$17=FALSE,O295,N295)))</f>
        <v/>
      </c>
      <c r="N295" s="30"/>
      <c r="O295" s="30" t="str">
        <f>IF(B295=0,"",IF('Cumulative Volumes Imperial'!$AQ$17=FALSE,(V295*$E$4)+(W295*$E$5),N295))</f>
        <v/>
      </c>
      <c r="P295" s="30" t="str">
        <f>IF(B295=0,"",(((1/12)*'Imperial Data'!$AC$4*'Imperial Data'!$AC$5)-C295)*$H$6)</f>
        <v/>
      </c>
      <c r="Q295" s="30"/>
      <c r="R295" s="30" t="str">
        <f>IF(B295=0,"",(((1/12)*'Imperial Data'!$AC$5*'Imperial Data'!$AC$7)-D295)*$H$6)</f>
        <v/>
      </c>
      <c r="S295" s="30"/>
      <c r="T295" s="30"/>
      <c r="U295" s="30"/>
      <c r="V295" s="30"/>
      <c r="W295" s="30" t="str">
        <f t="shared" si="64"/>
        <v/>
      </c>
      <c r="X295" s="31"/>
      <c r="Y295" s="30" t="str">
        <f t="shared" si="65"/>
        <v/>
      </c>
    </row>
    <row r="296" spans="2:25" x14ac:dyDescent="0.2">
      <c r="B296" s="34"/>
      <c r="C296" s="30" t="str">
        <f>IF(B296=0,"",IF('Imperial Data'!AG285&gt;=1, INDEX(Imperial_Incremental[], MATCH('Imperial Data'!AG285, Imperial_Incremental[Height], 1), MATCH('Cumulative Volumes Imperial'!$F$4, Imperial_Incremental[#Headers], 0)), 0))</f>
        <v/>
      </c>
      <c r="D296" s="30" t="str">
        <f>IF(B296=0,"",IF('Imperial Data'!AG285&gt;=1, INDEX(Imperial_Incremental[], MATCH('Imperial Data'!AG285, Imperial_Incremental[Height], 1), MATCH('Cumulative Volumes Imperial'!$F$4 &amp; "EC", Imperial_Incremental[#Headers], 0)), 0))</f>
        <v/>
      </c>
      <c r="E296" s="30"/>
      <c r="F296" s="30"/>
      <c r="G296" s="30" t="str">
        <f>IF(B296=0,"",IF('Cumulative Volumes Imperial'!$AQ$17=FALSE,I296,H296))</f>
        <v/>
      </c>
      <c r="H296" s="30"/>
      <c r="I296" s="30"/>
      <c r="J296" s="30" t="str">
        <f>IF(B296="","",IF('Cumulative Volumes Imperial'!$AQ$17=FALSE,L296,K296))</f>
        <v/>
      </c>
      <c r="K296" s="30"/>
      <c r="L296" s="30"/>
      <c r="M296" s="30" t="str">
        <f>IF($E$8+45+$E$9&gt;989,"FALSE",IF(B296="","",IF('Cumulative Volumes Imperial'!$AQ$17=FALSE,O296,N296)))</f>
        <v/>
      </c>
      <c r="N296" s="30"/>
      <c r="O296" s="30" t="str">
        <f>IF(B296=0,"",IF('Cumulative Volumes Imperial'!$AQ$17=FALSE,(V296*$E$4)+(W296*$E$5),N296))</f>
        <v/>
      </c>
      <c r="P296" s="30" t="str">
        <f>IF(B296=0,"",(((1/12)*'Imperial Data'!$AC$4*'Imperial Data'!$AC$5)-C296)*$H$6)</f>
        <v/>
      </c>
      <c r="Q296" s="30"/>
      <c r="R296" s="30" t="str">
        <f>IF(B296=0,"",(((1/12)*'Imperial Data'!$AC$5*'Imperial Data'!$AC$7)-D296)*$H$6)</f>
        <v/>
      </c>
      <c r="S296" s="30"/>
      <c r="T296" s="30"/>
      <c r="U296" s="30"/>
      <c r="V296" s="30"/>
      <c r="W296" s="30" t="str">
        <f t="shared" si="64"/>
        <v/>
      </c>
      <c r="X296" s="31"/>
      <c r="Y296" s="30" t="str">
        <f t="shared" si="65"/>
        <v/>
      </c>
    </row>
    <row r="297" spans="2:25" x14ac:dyDescent="0.2">
      <c r="B297" s="34"/>
      <c r="C297" s="30" t="str">
        <f>IF(B297=0,"",IF('Imperial Data'!AG286&gt;=1, INDEX(Imperial_Incremental[], MATCH('Imperial Data'!AG286, Imperial_Incremental[Height], 1), MATCH('Cumulative Volumes Imperial'!$F$4, Imperial_Incremental[#Headers], 0)), 0))</f>
        <v/>
      </c>
      <c r="D297" s="30" t="str">
        <f>IF(B297=0,"",IF('Imperial Data'!AG286&gt;=1, INDEX(Imperial_Incremental[], MATCH('Imperial Data'!AG286, Imperial_Incremental[Height], 1), MATCH('Cumulative Volumes Imperial'!$F$4 &amp; "EC", Imperial_Incremental[#Headers], 0)), 0))</f>
        <v/>
      </c>
      <c r="E297" s="30"/>
      <c r="F297" s="30"/>
      <c r="G297" s="30" t="str">
        <f>IF(B297=0,"",IF('Cumulative Volumes Imperial'!$AQ$17=FALSE,I297,H297))</f>
        <v/>
      </c>
      <c r="H297" s="30"/>
      <c r="I297" s="30"/>
      <c r="J297" s="30" t="str">
        <f>IF(B297="","",IF('Cumulative Volumes Imperial'!$AQ$17=FALSE,L297,K297))</f>
        <v/>
      </c>
      <c r="K297" s="30"/>
      <c r="L297" s="30"/>
      <c r="M297" s="30" t="str">
        <f>IF($E$8+45+$E$9&gt;989,"FALSE",IF(B297="","",IF('Cumulative Volumes Imperial'!$AQ$17=FALSE,O297,N297)))</f>
        <v/>
      </c>
      <c r="N297" s="30"/>
      <c r="O297" s="30" t="str">
        <f>IF(B297=0,"",IF('Cumulative Volumes Imperial'!$AQ$17=FALSE,(V297*$E$4)+(W297*$E$5),N297))</f>
        <v/>
      </c>
      <c r="P297" s="30" t="str">
        <f>IF(B297=0,"",(((1/12)*'Imperial Data'!$AC$4*'Imperial Data'!$AC$5)-C297)*$H$6)</f>
        <v/>
      </c>
      <c r="Q297" s="30"/>
      <c r="R297" s="30" t="str">
        <f>IF(B297=0,"",(((1/12)*'Imperial Data'!$AC$5*'Imperial Data'!$AC$7)-D297)*$H$6)</f>
        <v/>
      </c>
      <c r="S297" s="30"/>
      <c r="T297" s="30"/>
      <c r="U297" s="30"/>
      <c r="V297" s="30"/>
      <c r="W297" s="30" t="str">
        <f t="shared" si="64"/>
        <v/>
      </c>
      <c r="X297" s="31"/>
      <c r="Y297" s="30" t="str">
        <f t="shared" si="65"/>
        <v/>
      </c>
    </row>
    <row r="298" spans="2:25" x14ac:dyDescent="0.2">
      <c r="B298" s="34"/>
      <c r="C298" s="30" t="str">
        <f>IF(B298=0,"",IF('Imperial Data'!AG287&gt;=1, INDEX(Imperial_Incremental[], MATCH('Imperial Data'!AG287, Imperial_Incremental[Height], 1), MATCH('Cumulative Volumes Imperial'!$F$4, Imperial_Incremental[#Headers], 0)), 0))</f>
        <v/>
      </c>
      <c r="D298" s="30" t="str">
        <f>IF(B298=0,"",IF('Imperial Data'!AG287&gt;=1, INDEX(Imperial_Incremental[], MATCH('Imperial Data'!AG287, Imperial_Incremental[Height], 1), MATCH('Cumulative Volumes Imperial'!$F$4 &amp; "EC", Imperial_Incremental[#Headers], 0)), 0))</f>
        <v/>
      </c>
      <c r="E298" s="30"/>
      <c r="F298" s="30"/>
      <c r="G298" s="30" t="str">
        <f>IF(B298=0,"",IF('Cumulative Volumes Imperial'!$AQ$17=FALSE,I298,H298))</f>
        <v/>
      </c>
      <c r="H298" s="30"/>
      <c r="I298" s="30"/>
      <c r="J298" s="30" t="str">
        <f>IF(B298="","",IF('Cumulative Volumes Imperial'!$AQ$17=FALSE,L298,K298))</f>
        <v/>
      </c>
      <c r="K298" s="30"/>
      <c r="L298" s="30"/>
      <c r="M298" s="30" t="str">
        <f>IF($E$8+45+$E$9&gt;989,"FALSE",IF(B298="","",IF('Cumulative Volumes Imperial'!$AQ$17=FALSE,O298,N298)))</f>
        <v/>
      </c>
      <c r="N298" s="30"/>
      <c r="O298" s="30" t="str">
        <f>IF(B298=0,"",IF('Cumulative Volumes Imperial'!$AQ$17=FALSE,(V298*$E$4)+(W298*$E$5),N298))</f>
        <v/>
      </c>
      <c r="P298" s="30" t="str">
        <f>IF(B298=0,"",(((1/12)*'Imperial Data'!$AC$4*'Imperial Data'!$AC$5)-C298)*$H$6)</f>
        <v/>
      </c>
      <c r="Q298" s="30"/>
      <c r="R298" s="30" t="str">
        <f>IF(B298=0,"",(((1/12)*'Imperial Data'!$AC$5*'Imperial Data'!$AC$7)-D298)*$H$6)</f>
        <v/>
      </c>
      <c r="S298" s="30"/>
      <c r="T298" s="30"/>
      <c r="U298" s="30"/>
      <c r="V298" s="30"/>
      <c r="W298" s="30" t="str">
        <f t="shared" si="64"/>
        <v/>
      </c>
      <c r="X298" s="31"/>
      <c r="Y298" s="30" t="str">
        <f t="shared" si="65"/>
        <v/>
      </c>
    </row>
    <row r="299" spans="2:25" x14ac:dyDescent="0.2">
      <c r="B299" s="34"/>
      <c r="C299" s="30" t="str">
        <f>IF(B299=0,"",IF('Imperial Data'!AG288&gt;=1, INDEX(Imperial_Incremental[], MATCH('Imperial Data'!AG288, Imperial_Incremental[Height], 1), MATCH('Cumulative Volumes Imperial'!$F$4, Imperial_Incremental[#Headers], 0)), 0))</f>
        <v/>
      </c>
      <c r="D299" s="30" t="str">
        <f>IF(B299=0,"",IF('Imperial Data'!AG288&gt;=1, INDEX(Imperial_Incremental[], MATCH('Imperial Data'!AG288, Imperial_Incremental[Height], 1), MATCH('Cumulative Volumes Imperial'!$F$4 &amp; "EC", Imperial_Incremental[#Headers], 0)), 0))</f>
        <v/>
      </c>
      <c r="E299" s="30"/>
      <c r="F299" s="30"/>
      <c r="G299" s="30" t="str">
        <f>IF(B299=0,"",IF('Cumulative Volumes Imperial'!$AQ$17=FALSE,I299,H299))</f>
        <v/>
      </c>
      <c r="H299" s="30"/>
      <c r="I299" s="30"/>
      <c r="J299" s="30" t="str">
        <f>IF(B299="","",IF('Cumulative Volumes Imperial'!$AQ$17=FALSE,L299,K299))</f>
        <v/>
      </c>
      <c r="K299" s="30"/>
      <c r="L299" s="30"/>
      <c r="M299" s="30" t="str">
        <f>IF($E$8+45+$E$9&gt;989,"FALSE",IF(B299="","",IF('Cumulative Volumes Imperial'!$AQ$17=FALSE,O299,N299)))</f>
        <v/>
      </c>
      <c r="N299" s="30"/>
      <c r="O299" s="30" t="str">
        <f>IF(B299=0,"",IF('Cumulative Volumes Imperial'!$AQ$17=FALSE,(V299*$E$4)+(W299*$E$5),N299))</f>
        <v/>
      </c>
      <c r="P299" s="30" t="str">
        <f>IF(B299=0,"",(((1/12)*'Imperial Data'!$AC$4*'Imperial Data'!$AC$5)-C299)*$H$6)</f>
        <v/>
      </c>
      <c r="Q299" s="30"/>
      <c r="R299" s="30" t="str">
        <f>IF(B299=0,"",(((1/12)*'Imperial Data'!$AC$5*'Imperial Data'!$AC$7)-D299)*$H$6)</f>
        <v/>
      </c>
      <c r="S299" s="30"/>
      <c r="T299" s="30"/>
      <c r="U299" s="30"/>
      <c r="V299" s="30"/>
      <c r="W299" s="30" t="str">
        <f t="shared" si="64"/>
        <v/>
      </c>
      <c r="X299" s="31"/>
      <c r="Y299" s="30" t="str">
        <f t="shared" si="65"/>
        <v/>
      </c>
    </row>
    <row r="300" spans="2:25" x14ac:dyDescent="0.2">
      <c r="B300" s="34"/>
      <c r="C300" s="30" t="str">
        <f>IF(B300=0,"",IF('Imperial Data'!AG289&gt;=1, INDEX(Imperial_Incremental[], MATCH('Imperial Data'!AG289, Imperial_Incremental[Height], 1), MATCH('Cumulative Volumes Imperial'!$F$4, Imperial_Incremental[#Headers], 0)), 0))</f>
        <v/>
      </c>
      <c r="D300" s="30" t="str">
        <f>IF(B300=0,"",IF('Imperial Data'!AG289&gt;=1, INDEX(Imperial_Incremental[], MATCH('Imperial Data'!AG289, Imperial_Incremental[Height], 1), MATCH('Cumulative Volumes Imperial'!$F$4 &amp; "EC", Imperial_Incremental[#Headers], 0)), 0))</f>
        <v/>
      </c>
      <c r="E300" s="30"/>
      <c r="F300" s="30"/>
      <c r="G300" s="30" t="str">
        <f>IF(B300=0,"",IF('Cumulative Volumes Imperial'!$AQ$17=FALSE,I300,H300))</f>
        <v/>
      </c>
      <c r="H300" s="30"/>
      <c r="I300" s="30"/>
      <c r="J300" s="30" t="str">
        <f>IF(B300="","",IF('Cumulative Volumes Imperial'!$AQ$17=FALSE,L300,K300))</f>
        <v/>
      </c>
      <c r="K300" s="30"/>
      <c r="L300" s="30"/>
      <c r="M300" s="30" t="str">
        <f>IF($E$8+45+$E$9&gt;989,"FALSE",IF(B300="","",IF('Cumulative Volumes Imperial'!$AQ$17=FALSE,O300,N300)))</f>
        <v/>
      </c>
      <c r="N300" s="30"/>
      <c r="O300" s="30" t="str">
        <f>IF(B300=0,"",IF('Cumulative Volumes Imperial'!$AQ$17=FALSE,(V300*$E$4)+(W300*$E$5),N300))</f>
        <v/>
      </c>
      <c r="P300" s="30" t="str">
        <f>IF(B300=0,"",(((1/12)*'Imperial Data'!$AC$4*'Imperial Data'!$AC$5)-C300)*$H$6)</f>
        <v/>
      </c>
      <c r="Q300" s="30"/>
      <c r="R300" s="30" t="str">
        <f>IF(B300=0,"",(((1/12)*'Imperial Data'!$AC$5*'Imperial Data'!$AC$7)-D300)*$H$6)</f>
        <v/>
      </c>
      <c r="S300" s="30"/>
      <c r="T300" s="30"/>
      <c r="U300" s="30"/>
      <c r="V300" s="30"/>
      <c r="W300" s="30" t="str">
        <f t="shared" si="64"/>
        <v/>
      </c>
      <c r="X300" s="31"/>
      <c r="Y300" s="30" t="str">
        <f t="shared" si="65"/>
        <v/>
      </c>
    </row>
    <row r="301" spans="2:25" x14ac:dyDescent="0.2">
      <c r="B301" s="34"/>
      <c r="C301" s="30" t="str">
        <f>IF(B301=0,"",IF('Imperial Data'!AG290&gt;=1, INDEX(Imperial_Incremental[], MATCH('Imperial Data'!AG290, Imperial_Incremental[Height], 1), MATCH('Cumulative Volumes Imperial'!$F$4, Imperial_Incremental[#Headers], 0)), 0))</f>
        <v/>
      </c>
      <c r="D301" s="30" t="str">
        <f>IF(B301=0,"",IF('Imperial Data'!AG290&gt;=1, INDEX(Imperial_Incremental[], MATCH('Imperial Data'!AG290, Imperial_Incremental[Height], 1), MATCH('Cumulative Volumes Imperial'!$F$4 &amp; "EC", Imperial_Incremental[#Headers], 0)), 0))</f>
        <v/>
      </c>
      <c r="E301" s="30"/>
      <c r="F301" s="30"/>
      <c r="G301" s="30" t="str">
        <f>IF(B301=0,"",IF('Cumulative Volumes Imperial'!$AQ$17=FALSE,I301,H301))</f>
        <v/>
      </c>
      <c r="H301" s="30"/>
      <c r="I301" s="30"/>
      <c r="J301" s="30" t="str">
        <f>IF(B301="","",IF('Cumulative Volumes Imperial'!$AQ$17=FALSE,L301,K301))</f>
        <v/>
      </c>
      <c r="K301" s="30"/>
      <c r="L301" s="30"/>
      <c r="M301" s="30" t="str">
        <f>IF($E$8+45+$E$9&gt;989,"FALSE",IF(B301="","",IF('Cumulative Volumes Imperial'!$AQ$17=FALSE,O301,N301)))</f>
        <v/>
      </c>
      <c r="N301" s="30"/>
      <c r="O301" s="30" t="str">
        <f>IF(B301=0,"",IF('Cumulative Volumes Imperial'!$AQ$17=FALSE,(V301*$E$4)+(W301*$E$5),N301))</f>
        <v/>
      </c>
      <c r="P301" s="30" t="str">
        <f>IF(B301=0,"",(((1/12)*'Imperial Data'!$AC$4*'Imperial Data'!$AC$5)-C301)*$H$6)</f>
        <v/>
      </c>
      <c r="Q301" s="30"/>
      <c r="R301" s="30" t="str">
        <f>IF(B301=0,"",(((1/12)*'Imperial Data'!$AC$5*'Imperial Data'!$AC$7)-D301)*$H$6)</f>
        <v/>
      </c>
      <c r="S301" s="30"/>
      <c r="T301" s="30"/>
      <c r="U301" s="30"/>
      <c r="V301" s="30"/>
      <c r="W301" s="30" t="str">
        <f t="shared" si="64"/>
        <v/>
      </c>
      <c r="X301" s="31"/>
      <c r="Y301" s="30" t="str">
        <f t="shared" si="65"/>
        <v/>
      </c>
    </row>
    <row r="302" spans="2:25" x14ac:dyDescent="0.2">
      <c r="B302" s="34"/>
      <c r="C302" s="30" t="str">
        <f>IF(B302=0,"",IF('Imperial Data'!AG291&gt;=1, INDEX(Imperial_Incremental[], MATCH('Imperial Data'!AG291, Imperial_Incremental[Height], 1), MATCH('Cumulative Volumes Imperial'!$F$4, Imperial_Incremental[#Headers], 0)), 0))</f>
        <v/>
      </c>
      <c r="D302" s="30" t="str">
        <f>IF(B302=0,"",IF('Imperial Data'!AG291&gt;=1, INDEX(Imperial_Incremental[], MATCH('Imperial Data'!AG291, Imperial_Incremental[Height], 1), MATCH('Cumulative Volumes Imperial'!$F$4 &amp; "EC", Imperial_Incremental[#Headers], 0)), 0))</f>
        <v/>
      </c>
      <c r="E302" s="30"/>
      <c r="F302" s="30"/>
      <c r="G302" s="30" t="str">
        <f>IF(B302=0,"",IF('Cumulative Volumes Imperial'!$AQ$17=FALSE,I302,H302))</f>
        <v/>
      </c>
      <c r="H302" s="30"/>
      <c r="I302" s="30"/>
      <c r="J302" s="30" t="str">
        <f>IF(B302="","",IF('Cumulative Volumes Imperial'!$AQ$17=FALSE,L302,K302))</f>
        <v/>
      </c>
      <c r="K302" s="30"/>
      <c r="L302" s="30"/>
      <c r="M302" s="30" t="str">
        <f>IF($E$8+45+$E$9&gt;989,"FALSE",IF(B302="","",IF('Cumulative Volumes Imperial'!$AQ$17=FALSE,O302,N302)))</f>
        <v/>
      </c>
      <c r="N302" s="30"/>
      <c r="O302" s="30" t="str">
        <f>IF(B302=0,"",IF('Cumulative Volumes Imperial'!$AQ$17=FALSE,(V302*$E$4)+(W302*$E$5),N302))</f>
        <v/>
      </c>
      <c r="P302" s="30" t="str">
        <f>IF(B302=0,"",(((1/12)*'Imperial Data'!$AC$4*'Imperial Data'!$AC$5)-C302)*$H$6)</f>
        <v/>
      </c>
      <c r="Q302" s="30"/>
      <c r="R302" s="30" t="str">
        <f>IF(B302=0,"",(((1/12)*'Imperial Data'!$AC$5*'Imperial Data'!$AC$7)-D302)*$H$6)</f>
        <v/>
      </c>
      <c r="S302" s="30"/>
      <c r="T302" s="30"/>
      <c r="U302" s="30"/>
      <c r="V302" s="30"/>
      <c r="W302" s="30" t="str">
        <f t="shared" si="64"/>
        <v/>
      </c>
      <c r="X302" s="31"/>
      <c r="Y302" s="30" t="str">
        <f t="shared" si="65"/>
        <v/>
      </c>
    </row>
    <row r="303" spans="2:25" x14ac:dyDescent="0.2">
      <c r="B303" s="34"/>
      <c r="C303" s="30" t="str">
        <f>IF(B303=0,"",IF('Imperial Data'!AG292&gt;=1, INDEX(Imperial_Incremental[], MATCH('Imperial Data'!AG292, Imperial_Incremental[Height], 1), MATCH('Cumulative Volumes Imperial'!$F$4, Imperial_Incremental[#Headers], 0)), 0))</f>
        <v/>
      </c>
      <c r="D303" s="30" t="str">
        <f>IF(B303=0,"",IF('Imperial Data'!AG292&gt;=1, INDEX(Imperial_Incremental[], MATCH('Imperial Data'!AG292, Imperial_Incremental[Height], 1), MATCH('Cumulative Volumes Imperial'!$F$4 &amp; "EC", Imperial_Incremental[#Headers], 0)), 0))</f>
        <v/>
      </c>
      <c r="E303" s="30"/>
      <c r="F303" s="30"/>
      <c r="G303" s="30" t="str">
        <f>IF(B303=0,"",IF('Cumulative Volumes Imperial'!$AQ$17=FALSE,I303,H303))</f>
        <v/>
      </c>
      <c r="H303" s="30"/>
      <c r="I303" s="30"/>
      <c r="J303" s="30" t="str">
        <f>IF(B303="","",IF('Cumulative Volumes Imperial'!$AQ$17=FALSE,L303,K303))</f>
        <v/>
      </c>
      <c r="K303" s="30"/>
      <c r="L303" s="30"/>
      <c r="M303" s="30" t="str">
        <f>IF($E$8+45+$E$9&gt;989,"FALSE",IF(B303="","",IF('Cumulative Volumes Imperial'!$AQ$17=FALSE,O303,N303)))</f>
        <v/>
      </c>
      <c r="N303" s="30"/>
      <c r="O303" s="30" t="str">
        <f>IF(B303=0,"",IF('Cumulative Volumes Imperial'!$AQ$17=FALSE,(V303*$E$4)+(W303*$E$5),N303))</f>
        <v/>
      </c>
      <c r="P303" s="30" t="str">
        <f>IF(B303=0,"",(((1/12)*'Imperial Data'!$AC$4*'Imperial Data'!$AC$5)-C303)*$H$6)</f>
        <v/>
      </c>
      <c r="Q303" s="30"/>
      <c r="R303" s="30" t="str">
        <f>IF(B303=0,"",(((1/12)*'Imperial Data'!$AC$5*'Imperial Data'!$AC$7)-D303)*$H$6)</f>
        <v/>
      </c>
      <c r="S303" s="30"/>
      <c r="T303" s="30"/>
      <c r="U303" s="30"/>
      <c r="V303" s="30"/>
      <c r="W303" s="30" t="str">
        <f t="shared" si="64"/>
        <v/>
      </c>
      <c r="X303" s="31"/>
      <c r="Y303" s="30" t="str">
        <f t="shared" si="65"/>
        <v/>
      </c>
    </row>
    <row r="304" spans="2:25" x14ac:dyDescent="0.2">
      <c r="B304" s="34"/>
      <c r="C304" s="30" t="str">
        <f>IF(B304=0,"",IF('Imperial Data'!AG293&gt;=1, INDEX(Imperial_Incremental[], MATCH('Imperial Data'!AG293, Imperial_Incremental[Height], 1), MATCH('Cumulative Volumes Imperial'!$F$4, Imperial_Incremental[#Headers], 0)), 0))</f>
        <v/>
      </c>
      <c r="D304" s="30" t="str">
        <f>IF(B304=0,"",IF('Imperial Data'!AG293&gt;=1, INDEX(Imperial_Incremental[], MATCH('Imperial Data'!AG293, Imperial_Incremental[Height], 1), MATCH('Cumulative Volumes Imperial'!$F$4 &amp; "EC", Imperial_Incremental[#Headers], 0)), 0))</f>
        <v/>
      </c>
      <c r="E304" s="30"/>
      <c r="F304" s="30"/>
      <c r="G304" s="30" t="str">
        <f>IF(B304=0,"",IF('Cumulative Volumes Imperial'!$AQ$17=FALSE,I304,H304))</f>
        <v/>
      </c>
      <c r="H304" s="30"/>
      <c r="I304" s="30"/>
      <c r="J304" s="30" t="str">
        <f>IF(B304="","",IF('Cumulative Volumes Imperial'!$AQ$17=FALSE,L304,K304))</f>
        <v/>
      </c>
      <c r="K304" s="30"/>
      <c r="L304" s="30"/>
      <c r="M304" s="30" t="str">
        <f>IF($E$8+45+$E$9&gt;989,"FALSE",IF(B304="","",IF('Cumulative Volumes Imperial'!$AQ$17=FALSE,O304,N304)))</f>
        <v/>
      </c>
      <c r="N304" s="30"/>
      <c r="O304" s="30" t="str">
        <f>IF(B304=0,"",IF('Cumulative Volumes Imperial'!$AQ$17=FALSE,(V304*$E$4)+(W304*$E$5),N304))</f>
        <v/>
      </c>
      <c r="P304" s="30" t="str">
        <f>IF(B304=0,"",(((1/12)*'Imperial Data'!$AC$4*'Imperial Data'!$AC$5)-C304)*$H$6)</f>
        <v/>
      </c>
      <c r="Q304" s="30"/>
      <c r="R304" s="30" t="str">
        <f>IF(B304=0,"",(((1/12)*'Imperial Data'!$AC$5*'Imperial Data'!$AC$7)-D304)*$H$6)</f>
        <v/>
      </c>
      <c r="S304" s="30"/>
      <c r="T304" s="30"/>
      <c r="U304" s="30"/>
      <c r="V304" s="30"/>
      <c r="W304" s="30" t="str">
        <f t="shared" si="64"/>
        <v/>
      </c>
      <c r="X304" s="31"/>
      <c r="Y304" s="30" t="str">
        <f t="shared" si="65"/>
        <v/>
      </c>
    </row>
    <row r="305" spans="2:25" x14ac:dyDescent="0.2">
      <c r="B305" s="34"/>
      <c r="C305" s="30" t="str">
        <f>IF(B305=0,"",IF('Imperial Data'!AG294&gt;=1, INDEX(Imperial_Incremental[], MATCH('Imperial Data'!AG294, Imperial_Incremental[Height], 1), MATCH('Cumulative Volumes Imperial'!$F$4, Imperial_Incremental[#Headers], 0)), 0))</f>
        <v/>
      </c>
      <c r="D305" s="30" t="str">
        <f>IF(B305=0,"",IF('Imperial Data'!AG294&gt;=1, INDEX(Imperial_Incremental[], MATCH('Imperial Data'!AG294, Imperial_Incremental[Height], 1), MATCH('Cumulative Volumes Imperial'!$F$4 &amp; "EC", Imperial_Incremental[#Headers], 0)), 0))</f>
        <v/>
      </c>
      <c r="E305" s="30"/>
      <c r="F305" s="30"/>
      <c r="G305" s="30" t="str">
        <f>IF(B305=0,"",IF('Cumulative Volumes Imperial'!$AQ$17=FALSE,I305,H305))</f>
        <v/>
      </c>
      <c r="H305" s="30"/>
      <c r="I305" s="30"/>
      <c r="J305" s="30" t="str">
        <f>IF(B305="","",IF('Cumulative Volumes Imperial'!$AQ$17=FALSE,L305,K305))</f>
        <v/>
      </c>
      <c r="K305" s="30"/>
      <c r="L305" s="30"/>
      <c r="M305" s="30" t="str">
        <f>IF($E$8+45+$E$9&gt;989,"FALSE",IF(B305="","",IF('Cumulative Volumes Imperial'!$AQ$17=FALSE,O305,N305)))</f>
        <v/>
      </c>
      <c r="N305" s="30"/>
      <c r="O305" s="30" t="str">
        <f>IF(B305=0,"",IF('Cumulative Volumes Imperial'!$AQ$17=FALSE,(V305*$E$4)+(W305*$E$5),N305))</f>
        <v/>
      </c>
      <c r="P305" s="30" t="str">
        <f>IF(B305=0,"",(((1/12)*'Imperial Data'!$AC$4*'Imperial Data'!$AC$5)-C305)*$H$6)</f>
        <v/>
      </c>
      <c r="Q305" s="30"/>
      <c r="R305" s="30" t="str">
        <f>IF(B305=0,"",(((1/12)*'Imperial Data'!$AC$5*'Imperial Data'!$AC$7)-D305)*$H$6)</f>
        <v/>
      </c>
      <c r="S305" s="30"/>
      <c r="T305" s="30"/>
      <c r="U305" s="30"/>
      <c r="V305" s="30"/>
      <c r="W305" s="30" t="str">
        <f t="shared" si="64"/>
        <v/>
      </c>
      <c r="X305" s="31"/>
      <c r="Y305" s="30" t="str">
        <f t="shared" si="65"/>
        <v/>
      </c>
    </row>
    <row r="306" spans="2:25" x14ac:dyDescent="0.2">
      <c r="B306" s="34"/>
      <c r="C306" s="30" t="str">
        <f>IF(B306=0,"",IF('Imperial Data'!AG295&gt;=1, INDEX(Imperial_Incremental[], MATCH('Imperial Data'!AG295, Imperial_Incremental[Height], 1), MATCH('Cumulative Volumes Imperial'!$F$4, Imperial_Incremental[#Headers], 0)), 0))</f>
        <v/>
      </c>
      <c r="D306" s="30" t="str">
        <f>IF(B306=0,"",IF('Imperial Data'!AG295&gt;=1, INDEX(Imperial_Incremental[], MATCH('Imperial Data'!AG295, Imperial_Incremental[Height], 1), MATCH('Cumulative Volumes Imperial'!$F$4 &amp; "EC", Imperial_Incremental[#Headers], 0)), 0))</f>
        <v/>
      </c>
      <c r="E306" s="30"/>
      <c r="F306" s="30"/>
      <c r="G306" s="30" t="str">
        <f>IF(B306=0,"",IF('Cumulative Volumes Imperial'!$AQ$17=FALSE,I306,H306))</f>
        <v/>
      </c>
      <c r="H306" s="30"/>
      <c r="I306" s="30"/>
      <c r="J306" s="30" t="str">
        <f>IF(B306="","",IF('Cumulative Volumes Imperial'!$AQ$17=FALSE,L306,K306))</f>
        <v/>
      </c>
      <c r="K306" s="30"/>
      <c r="L306" s="30"/>
      <c r="M306" s="30" t="str">
        <f>IF($E$8+45+$E$9&gt;989,"FALSE",IF(B306="","",IF('Cumulative Volumes Imperial'!$AQ$17=FALSE,O306,N306)))</f>
        <v/>
      </c>
      <c r="N306" s="30"/>
      <c r="O306" s="30" t="str">
        <f>IF(B306=0,"",IF('Cumulative Volumes Imperial'!$AQ$17=FALSE,(V306*$E$4)+(W306*$E$5),N306))</f>
        <v/>
      </c>
      <c r="P306" s="30" t="str">
        <f>IF(B306=0,"",(((1/12)*'Imperial Data'!$AC$4*'Imperial Data'!$AC$5)-C306)*$H$6)</f>
        <v/>
      </c>
      <c r="Q306" s="30"/>
      <c r="R306" s="30" t="str">
        <f>IF(B306=0,"",(((1/12)*'Imperial Data'!$AC$5*'Imperial Data'!$AC$7)-D306)*$H$6)</f>
        <v/>
      </c>
      <c r="S306" s="30"/>
      <c r="T306" s="30"/>
      <c r="U306" s="30"/>
      <c r="V306" s="30"/>
      <c r="W306" s="30" t="str">
        <f t="shared" si="64"/>
        <v/>
      </c>
      <c r="X306" s="31"/>
      <c r="Y306" s="30" t="str">
        <f t="shared" si="65"/>
        <v/>
      </c>
    </row>
    <row r="307" spans="2:25" x14ac:dyDescent="0.2">
      <c r="B307" s="34"/>
      <c r="C307" s="30" t="str">
        <f>IF(B307=0,"",IF('Imperial Data'!AG296&gt;=1, INDEX(Imperial_Incremental[], MATCH('Imperial Data'!AG296, Imperial_Incremental[Height], 1), MATCH('Cumulative Volumes Imperial'!$F$4, Imperial_Incremental[#Headers], 0)), 0))</f>
        <v/>
      </c>
      <c r="D307" s="30" t="str">
        <f>IF(B307=0,"",IF('Imperial Data'!AG296&gt;=1, INDEX(Imperial_Incremental[], MATCH('Imperial Data'!AG296, Imperial_Incremental[Height], 1), MATCH('Cumulative Volumes Imperial'!$F$4 &amp; "EC", Imperial_Incremental[#Headers], 0)), 0))</f>
        <v/>
      </c>
      <c r="E307" s="30"/>
      <c r="F307" s="30"/>
      <c r="G307" s="30" t="str">
        <f>IF(B307=0,"",IF('Cumulative Volumes Imperial'!$AQ$17=FALSE,I307,H307))</f>
        <v/>
      </c>
      <c r="H307" s="30"/>
      <c r="I307" s="30"/>
      <c r="J307" s="30" t="str">
        <f>IF(B307="","",IF('Cumulative Volumes Imperial'!$AQ$17=FALSE,L307,K307))</f>
        <v/>
      </c>
      <c r="K307" s="30"/>
      <c r="L307" s="30"/>
      <c r="M307" s="30" t="str">
        <f>IF($E$8+45+$E$9&gt;989,"FALSE",IF(B307="","",IF('Cumulative Volumes Imperial'!$AQ$17=FALSE,O307,N307)))</f>
        <v/>
      </c>
      <c r="N307" s="30"/>
      <c r="O307" s="30" t="str">
        <f>IF(B307=0,"",IF('Cumulative Volumes Imperial'!$AQ$17=FALSE,(V307*$E$4)+(W307*$E$5),N307))</f>
        <v/>
      </c>
      <c r="P307" s="30" t="str">
        <f>IF(B307=0,"",(((1/12)*'Imperial Data'!$AC$4*'Imperial Data'!$AC$5)-C307)*$H$6)</f>
        <v/>
      </c>
      <c r="Q307" s="30"/>
      <c r="R307" s="30" t="str">
        <f>IF(B307=0,"",(((1/12)*'Imperial Data'!$AC$5*'Imperial Data'!$AC$7)-D307)*$H$6)</f>
        <v/>
      </c>
      <c r="S307" s="30"/>
      <c r="T307" s="30"/>
      <c r="U307" s="30"/>
      <c r="V307" s="30"/>
      <c r="W307" s="30" t="str">
        <f t="shared" si="64"/>
        <v/>
      </c>
      <c r="X307" s="31"/>
      <c r="Y307" s="30" t="str">
        <f t="shared" si="65"/>
        <v/>
      </c>
    </row>
    <row r="308" spans="2:25" x14ac:dyDescent="0.2">
      <c r="B308" s="34"/>
      <c r="C308" s="30" t="str">
        <f>IF(B308=0,"",IF('Imperial Data'!AG297&gt;=1, INDEX(Imperial_Incremental[], MATCH('Imperial Data'!AG297, Imperial_Incremental[Height], 1), MATCH('Cumulative Volumes Imperial'!$F$4, Imperial_Incremental[#Headers], 0)), 0))</f>
        <v/>
      </c>
      <c r="D308" s="30" t="str">
        <f>IF(B308=0,"",IF('Imperial Data'!AG297&gt;=1, INDEX(Imperial_Incremental[], MATCH('Imperial Data'!AG297, Imperial_Incremental[Height], 1), MATCH('Cumulative Volumes Imperial'!$F$4 &amp; "EC", Imperial_Incremental[#Headers], 0)), 0))</f>
        <v/>
      </c>
      <c r="E308" s="30"/>
      <c r="F308" s="30"/>
      <c r="G308" s="30" t="str">
        <f>IF(B308=0,"",IF('Cumulative Volumes Imperial'!$AQ$17=FALSE,I308,H308))</f>
        <v/>
      </c>
      <c r="H308" s="30"/>
      <c r="I308" s="30"/>
      <c r="J308" s="30" t="str">
        <f>IF(B308="","",IF('Cumulative Volumes Imperial'!$AQ$17=FALSE,L308,K308))</f>
        <v/>
      </c>
      <c r="K308" s="30"/>
      <c r="L308" s="30"/>
      <c r="M308" s="30" t="str">
        <f>IF($E$8+45+$E$9&gt;989,"FALSE",IF(B308="","",IF('Cumulative Volumes Imperial'!$AQ$17=FALSE,O308,N308)))</f>
        <v/>
      </c>
      <c r="N308" s="30"/>
      <c r="O308" s="30" t="str">
        <f>IF(B308=0,"",IF('Cumulative Volumes Imperial'!$AQ$17=FALSE,(V308*$E$4)+(W308*$E$5),N308))</f>
        <v/>
      </c>
      <c r="P308" s="30" t="str">
        <f>IF(B308=0,"",(((1/12)*'Imperial Data'!$AC$4*'Imperial Data'!$AC$5)-C308)*$H$6)</f>
        <v/>
      </c>
      <c r="Q308" s="30"/>
      <c r="R308" s="30" t="str">
        <f>IF(B308=0,"",(((1/12)*'Imperial Data'!$AC$5*'Imperial Data'!$AC$7)-D308)*$H$6)</f>
        <v/>
      </c>
      <c r="S308" s="30"/>
      <c r="T308" s="30"/>
      <c r="U308" s="30"/>
      <c r="V308" s="30"/>
      <c r="W308" s="30" t="str">
        <f t="shared" si="64"/>
        <v/>
      </c>
      <c r="X308" s="31"/>
      <c r="Y308" s="30" t="str">
        <f t="shared" si="65"/>
        <v/>
      </c>
    </row>
    <row r="309" spans="2:25" x14ac:dyDescent="0.2">
      <c r="B309" s="34"/>
      <c r="C309" s="30" t="str">
        <f>IF(B309=0,"",IF('Imperial Data'!AG298&gt;=1, INDEX(Imperial_Incremental[], MATCH('Imperial Data'!AG298, Imperial_Incremental[Height], 1), MATCH('Cumulative Volumes Imperial'!$F$4, Imperial_Incremental[#Headers], 0)), 0))</f>
        <v/>
      </c>
      <c r="D309" s="30" t="str">
        <f>IF(B309=0,"",IF('Imperial Data'!AG298&gt;=1, INDEX(Imperial_Incremental[], MATCH('Imperial Data'!AG298, Imperial_Incremental[Height], 1), MATCH('Cumulative Volumes Imperial'!$F$4 &amp; "EC", Imperial_Incremental[#Headers], 0)), 0))</f>
        <v/>
      </c>
      <c r="E309" s="30"/>
      <c r="F309" s="30"/>
      <c r="G309" s="30" t="str">
        <f>IF(B309=0,"",IF('Cumulative Volumes Imperial'!$AQ$17=FALSE,I309,H309))</f>
        <v/>
      </c>
      <c r="H309" s="30"/>
      <c r="I309" s="30"/>
      <c r="J309" s="30" t="str">
        <f>IF(B309="","",IF('Cumulative Volumes Imperial'!$AQ$17=FALSE,L309,K309))</f>
        <v/>
      </c>
      <c r="K309" s="30"/>
      <c r="L309" s="30"/>
      <c r="M309" s="30" t="str">
        <f>IF($E$8+45+$E$9&gt;989,"FALSE",IF(B309="","",IF('Cumulative Volumes Imperial'!$AQ$17=FALSE,O309,N309)))</f>
        <v/>
      </c>
      <c r="N309" s="30"/>
      <c r="O309" s="30" t="str">
        <f>IF(B309=0,"",IF('Cumulative Volumes Imperial'!$AQ$17=FALSE,(V309*$E$4)+(W309*$E$5),N309))</f>
        <v/>
      </c>
      <c r="P309" s="30" t="str">
        <f>IF(B309=0,"",(((1/12)*'Imperial Data'!$AC$4*'Imperial Data'!$AC$5)-C309)*$H$6)</f>
        <v/>
      </c>
      <c r="Q309" s="30"/>
      <c r="R309" s="30" t="str">
        <f>IF(B309=0,"",(((1/12)*'Imperial Data'!$AC$5*'Imperial Data'!$AC$7)-D309)*$H$6)</f>
        <v/>
      </c>
      <c r="S309" s="30"/>
      <c r="T309" s="30"/>
      <c r="U309" s="30"/>
      <c r="V309" s="30"/>
      <c r="W309" s="30" t="str">
        <f t="shared" si="64"/>
        <v/>
      </c>
      <c r="X309" s="31"/>
      <c r="Y309" s="30" t="str">
        <f t="shared" si="65"/>
        <v/>
      </c>
    </row>
    <row r="310" spans="2:25" x14ac:dyDescent="0.2">
      <c r="B310" s="34"/>
      <c r="C310" s="30" t="str">
        <f>IF(B310=0,"",IF('Imperial Data'!AG299&gt;=1, INDEX(Imperial_Incremental[], MATCH('Imperial Data'!AG299, Imperial_Incremental[Height], 1), MATCH('Cumulative Volumes Imperial'!$F$4, Imperial_Incremental[#Headers], 0)), 0))</f>
        <v/>
      </c>
      <c r="D310" s="30" t="str">
        <f>IF(B310=0,"",IF('Imperial Data'!AG299&gt;=1, INDEX(Imperial_Incremental[], MATCH('Imperial Data'!AG299, Imperial_Incremental[Height], 1), MATCH('Cumulative Volumes Imperial'!$F$4 &amp; "EC", Imperial_Incremental[#Headers], 0)), 0))</f>
        <v/>
      </c>
      <c r="E310" s="30"/>
      <c r="F310" s="30"/>
      <c r="G310" s="30" t="str">
        <f>IF(B310=0,"",IF('Cumulative Volumes Imperial'!$AQ$17=FALSE,I310,H310))</f>
        <v/>
      </c>
      <c r="H310" s="30"/>
      <c r="I310" s="30"/>
      <c r="J310" s="30" t="str">
        <f>IF(B310="","",IF('Cumulative Volumes Imperial'!$AQ$17=FALSE,L310,K310))</f>
        <v/>
      </c>
      <c r="K310" s="30"/>
      <c r="L310" s="30"/>
      <c r="M310" s="30" t="str">
        <f>IF($E$8+45+$E$9&gt;989,"FALSE",IF(B310="","",IF('Cumulative Volumes Imperial'!$AQ$17=FALSE,O310,N310)))</f>
        <v/>
      </c>
      <c r="N310" s="30"/>
      <c r="O310" s="30" t="str">
        <f>IF(B310=0,"",IF('Cumulative Volumes Imperial'!$AQ$17=FALSE,(V310*$E$4)+(W310*$E$5),N310))</f>
        <v/>
      </c>
      <c r="P310" s="30" t="str">
        <f>IF(B310=0,"",(((1/12)*'Imperial Data'!$AC$4*'Imperial Data'!$AC$5)-C310)*$H$6)</f>
        <v/>
      </c>
      <c r="Q310" s="30"/>
      <c r="R310" s="30" t="str">
        <f>IF(B310=0,"",(((1/12)*'Imperial Data'!$AC$5*'Imperial Data'!$AC$7)-D310)*$H$6)</f>
        <v/>
      </c>
      <c r="S310" s="30"/>
      <c r="T310" s="30"/>
      <c r="U310" s="30"/>
      <c r="V310" s="30"/>
      <c r="W310" s="30" t="str">
        <f t="shared" si="64"/>
        <v/>
      </c>
      <c r="X310" s="31"/>
      <c r="Y310" s="30" t="str">
        <f t="shared" si="65"/>
        <v/>
      </c>
    </row>
    <row r="311" spans="2:25" x14ac:dyDescent="0.2">
      <c r="B311" s="34"/>
      <c r="C311" s="30" t="str">
        <f>IF(B311=0,"",IF('Imperial Data'!AG300&gt;=1, INDEX(Imperial_Incremental[], MATCH('Imperial Data'!AG300, Imperial_Incremental[Height], 1), MATCH('Cumulative Volumes Imperial'!$F$4, Imperial_Incremental[#Headers], 0)), 0))</f>
        <v/>
      </c>
      <c r="D311" s="30" t="str">
        <f>IF(B311=0,"",IF('Imperial Data'!AG300&gt;=1, INDEX(Imperial_Incremental[], MATCH('Imperial Data'!AG300, Imperial_Incremental[Height], 1), MATCH('Cumulative Volumes Imperial'!$F$4 &amp; "EC", Imperial_Incremental[#Headers], 0)), 0))</f>
        <v/>
      </c>
      <c r="E311" s="30"/>
      <c r="F311" s="30"/>
      <c r="G311" s="30" t="str">
        <f>IF(B311=0,"",IF('Cumulative Volumes Imperial'!$AQ$17=FALSE,I311,H311))</f>
        <v/>
      </c>
      <c r="H311" s="30"/>
      <c r="I311" s="30"/>
      <c r="J311" s="30" t="str">
        <f>IF(B311="","",IF('Cumulative Volumes Imperial'!$AQ$17=FALSE,L311,K311))</f>
        <v/>
      </c>
      <c r="K311" s="30"/>
      <c r="L311" s="30"/>
      <c r="M311" s="30" t="str">
        <f>IF($E$8+45+$E$9&gt;989,"FALSE",IF(B311="","",IF('Cumulative Volumes Imperial'!$AQ$17=FALSE,O311,N311)))</f>
        <v/>
      </c>
      <c r="N311" s="30"/>
      <c r="O311" s="30" t="str">
        <f>IF(B311=0,"",IF('Cumulative Volumes Imperial'!$AQ$17=FALSE,(V311*$E$4)+(W311*$E$5),N311))</f>
        <v/>
      </c>
      <c r="P311" s="30" t="str">
        <f>IF(B311=0,"",(((1/12)*'Imperial Data'!$AC$4*'Imperial Data'!$AC$5)-C311)*$H$6)</f>
        <v/>
      </c>
      <c r="Q311" s="30"/>
      <c r="R311" s="30" t="str">
        <f>IF(B311=0,"",(((1/12)*'Imperial Data'!$AC$5*'Imperial Data'!$AC$7)-D311)*$H$6)</f>
        <v/>
      </c>
      <c r="S311" s="30"/>
      <c r="T311" s="30"/>
      <c r="U311" s="30"/>
      <c r="V311" s="30"/>
      <c r="W311" s="30" t="str">
        <f t="shared" si="64"/>
        <v/>
      </c>
      <c r="X311" s="31"/>
      <c r="Y311" s="30" t="str">
        <f t="shared" si="65"/>
        <v/>
      </c>
    </row>
    <row r="312" spans="2:25" x14ac:dyDescent="0.2">
      <c r="B312" s="34"/>
      <c r="C312" s="30" t="str">
        <f>IF(B312=0,"",IF('Imperial Data'!AG301&gt;=1, INDEX(Imperial_Incremental[], MATCH('Imperial Data'!AG301, Imperial_Incremental[Height], 1), MATCH('Cumulative Volumes Imperial'!$F$4, Imperial_Incremental[#Headers], 0)), 0))</f>
        <v/>
      </c>
      <c r="D312" s="30" t="str">
        <f>IF(B312=0,"",IF('Imperial Data'!AG301&gt;=1, INDEX(Imperial_Incremental[], MATCH('Imperial Data'!AG301, Imperial_Incremental[Height], 1), MATCH('Cumulative Volumes Imperial'!$F$4 &amp; "EC", Imperial_Incremental[#Headers], 0)), 0))</f>
        <v/>
      </c>
      <c r="E312" s="30"/>
      <c r="F312" s="30"/>
      <c r="G312" s="30" t="str">
        <f>IF(B312=0,"",IF('Cumulative Volumes Imperial'!$AQ$17=FALSE,I312,H312))</f>
        <v/>
      </c>
      <c r="H312" s="30"/>
      <c r="I312" s="30"/>
      <c r="J312" s="30" t="str">
        <f>IF(B312="","",IF('Cumulative Volumes Imperial'!$AQ$17=FALSE,L312,K312))</f>
        <v/>
      </c>
      <c r="K312" s="30"/>
      <c r="L312" s="30"/>
      <c r="M312" s="30" t="str">
        <f>IF($E$8+45+$E$9&gt;989,"FALSE",IF(B312="","",IF('Cumulative Volumes Imperial'!$AQ$17=FALSE,O312,N312)))</f>
        <v/>
      </c>
      <c r="N312" s="30"/>
      <c r="O312" s="30" t="str">
        <f>IF(B312=0,"",IF('Cumulative Volumes Imperial'!$AQ$17=FALSE,(V312*$E$4)+(W312*$E$5),N312))</f>
        <v/>
      </c>
      <c r="P312" s="30" t="str">
        <f>IF(B312=0,"",(((1/12)*'Imperial Data'!$AC$4*'Imperial Data'!$AC$5)-C312)*$H$6)</f>
        <v/>
      </c>
      <c r="Q312" s="30"/>
      <c r="R312" s="30" t="str">
        <f>IF(B312=0,"",(((1/12)*'Imperial Data'!$AC$5*'Imperial Data'!$AC$7)-D312)*$H$6)</f>
        <v/>
      </c>
      <c r="S312" s="30"/>
      <c r="T312" s="30"/>
      <c r="U312" s="30"/>
      <c r="V312" s="30"/>
      <c r="W312" s="30" t="str">
        <f t="shared" si="64"/>
        <v/>
      </c>
      <c r="X312" s="31"/>
      <c r="Y312" s="30" t="str">
        <f t="shared" si="65"/>
        <v/>
      </c>
    </row>
    <row r="313" spans="2:25" x14ac:dyDescent="0.2">
      <c r="B313" s="34"/>
      <c r="C313" s="30" t="str">
        <f>IF(B313=0,"",IF('Imperial Data'!AG302&gt;=1, INDEX(Imperial_Incremental[], MATCH('Imperial Data'!AG302, Imperial_Incremental[Height], 1), MATCH('Cumulative Volumes Imperial'!$F$4, Imperial_Incremental[#Headers], 0)), 0))</f>
        <v/>
      </c>
      <c r="D313" s="30" t="str">
        <f>IF(B313=0,"",IF('Imperial Data'!AG302&gt;=1, INDEX(Imperial_Incremental[], MATCH('Imperial Data'!AG302, Imperial_Incremental[Height], 1), MATCH('Cumulative Volumes Imperial'!$F$4 &amp; "EC", Imperial_Incremental[#Headers], 0)), 0))</f>
        <v/>
      </c>
      <c r="E313" s="30"/>
      <c r="F313" s="30"/>
      <c r="G313" s="30" t="str">
        <f>IF(B313=0,"",IF('Cumulative Volumes Imperial'!$AQ$17=FALSE,I313,H313))</f>
        <v/>
      </c>
      <c r="H313" s="30"/>
      <c r="I313" s="30"/>
      <c r="J313" s="30" t="str">
        <f>IF(B313="","",IF('Cumulative Volumes Imperial'!$AQ$17=FALSE,L313,K313))</f>
        <v/>
      </c>
      <c r="K313" s="30"/>
      <c r="L313" s="30"/>
      <c r="M313" s="30" t="str">
        <f>IF($E$8+45+$E$9&gt;989,"FALSE",IF(B313="","",IF('Cumulative Volumes Imperial'!$AQ$17=FALSE,O313,N313)))</f>
        <v/>
      </c>
      <c r="N313" s="30"/>
      <c r="O313" s="30" t="str">
        <f>IF(B313=0,"",IF('Cumulative Volumes Imperial'!$AQ$17=FALSE,(V313*$E$4)+(W313*$E$5),N313))</f>
        <v/>
      </c>
      <c r="P313" s="30" t="str">
        <f>IF(B313=0,"",(((1/12)*'Imperial Data'!$AC$4*'Imperial Data'!$AC$5)-C313)*$H$6)</f>
        <v/>
      </c>
      <c r="Q313" s="30"/>
      <c r="R313" s="30" t="str">
        <f>IF(B313=0,"",(((1/12)*'Imperial Data'!$AC$5*'Imperial Data'!$AC$7)-D313)*$H$6)</f>
        <v/>
      </c>
      <c r="S313" s="30"/>
      <c r="T313" s="30"/>
      <c r="U313" s="30"/>
      <c r="V313" s="30"/>
      <c r="W313" s="30" t="str">
        <f t="shared" si="64"/>
        <v/>
      </c>
      <c r="X313" s="31"/>
      <c r="Y313" s="30" t="str">
        <f t="shared" si="65"/>
        <v/>
      </c>
    </row>
    <row r="314" spans="2:25" x14ac:dyDescent="0.2">
      <c r="B314" s="34"/>
      <c r="C314" s="30" t="str">
        <f>IF(B314=0,"",IF('Imperial Data'!AG303&gt;=1, INDEX(Imperial_Incremental[], MATCH('Imperial Data'!AG303, Imperial_Incremental[Height], 1), MATCH('Cumulative Volumes Imperial'!$F$4, Imperial_Incremental[#Headers], 0)), 0))</f>
        <v/>
      </c>
      <c r="D314" s="30" t="str">
        <f>IF(B314=0,"",IF('Imperial Data'!AG303&gt;=1, INDEX(Imperial_Incremental[], MATCH('Imperial Data'!AG303, Imperial_Incremental[Height], 1), MATCH('Cumulative Volumes Imperial'!$F$4 &amp; "EC", Imperial_Incremental[#Headers], 0)), 0))</f>
        <v/>
      </c>
      <c r="E314" s="30"/>
      <c r="F314" s="30"/>
      <c r="G314" s="30" t="str">
        <f>IF(B314=0,"",IF('Cumulative Volumes Imperial'!$AQ$17=FALSE,I314,H314))</f>
        <v/>
      </c>
      <c r="H314" s="30"/>
      <c r="I314" s="30"/>
      <c r="J314" s="30" t="str">
        <f>IF(B314="","",IF('Cumulative Volumes Imperial'!$AQ$17=FALSE,L314,K314))</f>
        <v/>
      </c>
      <c r="K314" s="30"/>
      <c r="L314" s="30"/>
      <c r="M314" s="30" t="str">
        <f>IF($E$8+45+$E$9&gt;989,"FALSE",IF(B314="","",IF('Cumulative Volumes Imperial'!$AQ$17=FALSE,O314,N314)))</f>
        <v/>
      </c>
      <c r="N314" s="30"/>
      <c r="O314" s="30" t="str">
        <f>IF(B314=0,"",IF('Cumulative Volumes Imperial'!$AQ$17=FALSE,(V314*$E$4)+(W314*$E$5),N314))</f>
        <v/>
      </c>
      <c r="P314" s="30" t="str">
        <f>IF(B314=0,"",(((1/12)*'Imperial Data'!$AC$4*'Imperial Data'!$AC$5)-C314)*$H$6)</f>
        <v/>
      </c>
      <c r="Q314" s="30"/>
      <c r="R314" s="30" t="str">
        <f>IF(B314=0,"",(((1/12)*'Imperial Data'!$AC$5*'Imperial Data'!$AC$7)-D314)*$H$6)</f>
        <v/>
      </c>
      <c r="S314" s="30"/>
      <c r="T314" s="30"/>
      <c r="U314" s="30"/>
      <c r="V314" s="30"/>
      <c r="W314" s="30" t="str">
        <f t="shared" si="64"/>
        <v/>
      </c>
      <c r="X314" s="31"/>
      <c r="Y314" s="30" t="str">
        <f t="shared" si="65"/>
        <v/>
      </c>
    </row>
    <row r="315" spans="2:25" x14ac:dyDescent="0.2">
      <c r="B315" s="34"/>
      <c r="C315" s="30" t="str">
        <f>IF(B315=0,"",IF('Imperial Data'!AG304&gt;=1, INDEX(Imperial_Incremental[], MATCH('Imperial Data'!AG304, Imperial_Incremental[Height], 1), MATCH('Cumulative Volumes Imperial'!$F$4, Imperial_Incremental[#Headers], 0)), 0))</f>
        <v/>
      </c>
      <c r="D315" s="30" t="str">
        <f>IF(B315=0,"",IF('Imperial Data'!AG304&gt;=1, INDEX(Imperial_Incremental[], MATCH('Imperial Data'!AG304, Imperial_Incremental[Height], 1), MATCH('Cumulative Volumes Imperial'!$F$4 &amp; "EC", Imperial_Incremental[#Headers], 0)), 0))</f>
        <v/>
      </c>
      <c r="E315" s="30"/>
      <c r="F315" s="30"/>
      <c r="G315" s="30" t="str">
        <f>IF(B315=0,"",IF('Cumulative Volumes Imperial'!$AQ$17=FALSE,I315,H315))</f>
        <v/>
      </c>
      <c r="H315" s="30"/>
      <c r="I315" s="30"/>
      <c r="J315" s="30" t="str">
        <f>IF(B315="","",IF('Cumulative Volumes Imperial'!$AQ$17=FALSE,L315,K315))</f>
        <v/>
      </c>
      <c r="K315" s="30"/>
      <c r="L315" s="30"/>
      <c r="M315" s="30" t="str">
        <f>IF($E$8+45+$E$9&gt;989,"FALSE",IF(B315="","",IF('Cumulative Volumes Imperial'!$AQ$17=FALSE,O315,N315)))</f>
        <v/>
      </c>
      <c r="N315" s="30"/>
      <c r="O315" s="30" t="str">
        <f>IF(B315=0,"",IF('Cumulative Volumes Imperial'!$AQ$17=FALSE,(V315*$E$4)+(W315*$E$5),N315))</f>
        <v/>
      </c>
      <c r="P315" s="30" t="str">
        <f>IF(B315=0,"",(((1/12)*'Imperial Data'!$AC$4*'Imperial Data'!$AC$5)-C315)*$H$6)</f>
        <v/>
      </c>
      <c r="Q315" s="30"/>
      <c r="R315" s="30" t="str">
        <f>IF(B315=0,"",(((1/12)*'Imperial Data'!$AC$5*'Imperial Data'!$AC$7)-D315)*$H$6)</f>
        <v/>
      </c>
      <c r="S315" s="30"/>
      <c r="T315" s="30"/>
      <c r="U315" s="30"/>
      <c r="V315" s="30"/>
      <c r="W315" s="30" t="str">
        <f t="shared" si="64"/>
        <v/>
      </c>
      <c r="X315" s="31"/>
      <c r="Y315" s="30" t="str">
        <f t="shared" si="65"/>
        <v/>
      </c>
    </row>
    <row r="316" spans="2:25" x14ac:dyDescent="0.2">
      <c r="B316" s="34"/>
      <c r="C316" s="30" t="str">
        <f>IF(B316=0,"",IF('Imperial Data'!AG305&gt;=1, INDEX(Imperial_Incremental[], MATCH('Imperial Data'!AG305, Imperial_Incremental[Height], 1), MATCH('Cumulative Volumes Imperial'!$F$4, Imperial_Incremental[#Headers], 0)), 0))</f>
        <v/>
      </c>
      <c r="D316" s="30" t="str">
        <f>IF(B316=0,"",IF('Imperial Data'!AG305&gt;=1, INDEX(Imperial_Incremental[], MATCH('Imperial Data'!AG305, Imperial_Incremental[Height], 1), MATCH('Cumulative Volumes Imperial'!$F$4 &amp; "EC", Imperial_Incremental[#Headers], 0)), 0))</f>
        <v/>
      </c>
      <c r="E316" s="30"/>
      <c r="F316" s="30"/>
      <c r="G316" s="30" t="str">
        <f>IF(B316=0,"",IF('Cumulative Volumes Imperial'!$AQ$17=FALSE,I316,H316))</f>
        <v/>
      </c>
      <c r="H316" s="30"/>
      <c r="I316" s="30"/>
      <c r="J316" s="30" t="str">
        <f>IF(B316="","",IF('Cumulative Volumes Imperial'!$AQ$17=FALSE,L316,K316))</f>
        <v/>
      </c>
      <c r="K316" s="30"/>
      <c r="L316" s="30"/>
      <c r="M316" s="30" t="str">
        <f>IF($E$8+45+$E$9&gt;989,"FALSE",IF(B316="","",IF('Cumulative Volumes Imperial'!$AQ$17=FALSE,O316,N316)))</f>
        <v/>
      </c>
      <c r="N316" s="30"/>
      <c r="O316" s="30" t="str">
        <f>IF(B316=0,"",IF('Cumulative Volumes Imperial'!$AQ$17=FALSE,(V316*$E$4)+(W316*$E$5),N316))</f>
        <v/>
      </c>
      <c r="P316" s="30" t="str">
        <f>IF(B316=0,"",(((1/12)*'Imperial Data'!$AC$4*'Imperial Data'!$AC$5)-C316)*$H$6)</f>
        <v/>
      </c>
      <c r="Q316" s="30"/>
      <c r="R316" s="30" t="str">
        <f>IF(B316=0,"",(((1/12)*'Imperial Data'!$AC$5*'Imperial Data'!$AC$7)-D316)*$H$6)</f>
        <v/>
      </c>
      <c r="S316" s="30"/>
      <c r="T316" s="30"/>
      <c r="U316" s="30"/>
      <c r="V316" s="30"/>
      <c r="W316" s="30" t="str">
        <f t="shared" si="64"/>
        <v/>
      </c>
      <c r="X316" s="31"/>
      <c r="Y316" s="30" t="str">
        <f t="shared" si="65"/>
        <v/>
      </c>
    </row>
    <row r="317" spans="2:25" x14ac:dyDescent="0.2">
      <c r="B317" s="34"/>
      <c r="C317" s="30" t="str">
        <f>IF(B317=0,"",IF('Imperial Data'!AG306&gt;=1, INDEX(Imperial_Incremental[], MATCH('Imperial Data'!AG306, Imperial_Incremental[Height], 1), MATCH('Cumulative Volumes Imperial'!$F$4, Imperial_Incremental[#Headers], 0)), 0))</f>
        <v/>
      </c>
      <c r="D317" s="30" t="str">
        <f>IF(B317=0,"",IF('Imperial Data'!AG306&gt;=1, INDEX(Imperial_Incremental[], MATCH('Imperial Data'!AG306, Imperial_Incremental[Height], 1), MATCH('Cumulative Volumes Imperial'!$F$4 &amp; "EC", Imperial_Incremental[#Headers], 0)), 0))</f>
        <v/>
      </c>
      <c r="E317" s="30"/>
      <c r="F317" s="30"/>
      <c r="G317" s="30" t="str">
        <f>IF(B317=0,"",IF('Cumulative Volumes Imperial'!$AQ$17=FALSE,I317,H317))</f>
        <v/>
      </c>
      <c r="H317" s="30"/>
      <c r="I317" s="30"/>
      <c r="J317" s="30" t="str">
        <f>IF(B317="","",IF('Cumulative Volumes Imperial'!$AQ$17=FALSE,L317,K317))</f>
        <v/>
      </c>
      <c r="K317" s="30"/>
      <c r="L317" s="30"/>
      <c r="M317" s="30" t="str">
        <f>IF($E$8+45+$E$9&gt;989,"FALSE",IF(B317="","",IF('Cumulative Volumes Imperial'!$AQ$17=FALSE,O317,N317)))</f>
        <v/>
      </c>
      <c r="N317" s="30"/>
      <c r="O317" s="30" t="str">
        <f>IF(B317=0,"",IF('Cumulative Volumes Imperial'!$AQ$17=FALSE,(V317*$E$4)+(W317*$E$5),N317))</f>
        <v/>
      </c>
      <c r="P317" s="30" t="str">
        <f>IF(B317=0,"",(((1/12)*'Imperial Data'!$AC$4*'Imperial Data'!$AC$5)-C317)*$H$6)</f>
        <v/>
      </c>
      <c r="Q317" s="30"/>
      <c r="R317" s="30" t="str">
        <f>IF(B317=0,"",(((1/12)*'Imperial Data'!$AC$5*'Imperial Data'!$AC$7)-D317)*$H$6)</f>
        <v/>
      </c>
      <c r="S317" s="30"/>
      <c r="T317" s="30"/>
      <c r="U317" s="30"/>
      <c r="V317" s="30"/>
      <c r="W317" s="30" t="str">
        <f t="shared" si="64"/>
        <v/>
      </c>
      <c r="X317" s="31"/>
      <c r="Y317" s="30" t="str">
        <f t="shared" si="65"/>
        <v/>
      </c>
    </row>
    <row r="318" spans="2:25" x14ac:dyDescent="0.2">
      <c r="B318" s="34"/>
      <c r="C318" s="30" t="str">
        <f>IF(B318=0,"",IF('Imperial Data'!AG307&gt;=1, INDEX(Imperial_Incremental[], MATCH('Imperial Data'!AG307, Imperial_Incremental[Height], 1), MATCH('Cumulative Volumes Imperial'!$F$4, Imperial_Incremental[#Headers], 0)), 0))</f>
        <v/>
      </c>
      <c r="D318" s="30" t="str">
        <f>IF(B318=0,"",IF('Imperial Data'!AG307&gt;=1, INDEX(Imperial_Incremental[], MATCH('Imperial Data'!AG307, Imperial_Incremental[Height], 1), MATCH('Cumulative Volumes Imperial'!$F$4 &amp; "EC", Imperial_Incremental[#Headers], 0)), 0))</f>
        <v/>
      </c>
      <c r="E318" s="30"/>
      <c r="F318" s="30"/>
      <c r="G318" s="30" t="str">
        <f>IF(B318=0,"",IF('Cumulative Volumes Imperial'!$AQ$17=FALSE,I318,H318))</f>
        <v/>
      </c>
      <c r="H318" s="30"/>
      <c r="I318" s="30"/>
      <c r="J318" s="30" t="str">
        <f>IF(B318="","",IF('Cumulative Volumes Imperial'!$AQ$17=FALSE,L318,K318))</f>
        <v/>
      </c>
      <c r="K318" s="30"/>
      <c r="L318" s="30"/>
      <c r="M318" s="30" t="str">
        <f>IF($E$8+45+$E$9&gt;989,"FALSE",IF(B318="","",IF('Cumulative Volumes Imperial'!$AQ$17=FALSE,O318,N318)))</f>
        <v/>
      </c>
      <c r="N318" s="30"/>
      <c r="O318" s="30" t="str">
        <f>IF(B318=0,"",IF('Cumulative Volumes Imperial'!$AQ$17=FALSE,(V318*$E$4)+(W318*$E$5),N318))</f>
        <v/>
      </c>
      <c r="P318" s="30" t="str">
        <f>IF(B318=0,"",(((1/12)*'Imperial Data'!$AC$4*'Imperial Data'!$AC$5)-C318)*$H$6)</f>
        <v/>
      </c>
      <c r="Q318" s="30"/>
      <c r="R318" s="30" t="str">
        <f>IF(B318=0,"",(((1/12)*'Imperial Data'!$AC$5*'Imperial Data'!$AC$7)-D318)*$H$6)</f>
        <v/>
      </c>
      <c r="S318" s="30"/>
      <c r="T318" s="30"/>
      <c r="U318" s="30"/>
      <c r="V318" s="30"/>
      <c r="W318" s="30" t="str">
        <f t="shared" si="64"/>
        <v/>
      </c>
      <c r="X318" s="31"/>
      <c r="Y318" s="30" t="str">
        <f t="shared" si="65"/>
        <v/>
      </c>
    </row>
    <row r="319" spans="2:25" x14ac:dyDescent="0.2">
      <c r="B319" s="34"/>
      <c r="C319" s="30" t="str">
        <f>IF(B319=0,"",IF('Imperial Data'!AG308&gt;=1, INDEX(Imperial_Incremental[], MATCH('Imperial Data'!AG308, Imperial_Incremental[Height], 1), MATCH('Cumulative Volumes Imperial'!$F$4, Imperial_Incremental[#Headers], 0)), 0))</f>
        <v/>
      </c>
      <c r="D319" s="30" t="str">
        <f>IF(B319=0,"",IF('Imperial Data'!AG308&gt;=1, INDEX(Imperial_Incremental[], MATCH('Imperial Data'!AG308, Imperial_Incremental[Height], 1), MATCH('Cumulative Volumes Imperial'!$F$4 &amp; "EC", Imperial_Incremental[#Headers], 0)), 0))</f>
        <v/>
      </c>
      <c r="E319" s="30"/>
      <c r="F319" s="30"/>
      <c r="G319" s="30" t="str">
        <f>IF(B319=0,"",IF('Cumulative Volumes Imperial'!$AQ$17=FALSE,I319,H319))</f>
        <v/>
      </c>
      <c r="H319" s="30"/>
      <c r="I319" s="30"/>
      <c r="J319" s="30" t="str">
        <f>IF(B319="","",IF('Cumulative Volumes Imperial'!$AQ$17=FALSE,L319,K319))</f>
        <v/>
      </c>
      <c r="K319" s="30"/>
      <c r="L319" s="30"/>
      <c r="M319" s="30" t="str">
        <f>IF($E$8+45+$E$9&gt;989,"FALSE",IF(B319="","",IF('Cumulative Volumes Imperial'!$AQ$17=FALSE,O319,N319)))</f>
        <v/>
      </c>
      <c r="N319" s="30"/>
      <c r="O319" s="30" t="str">
        <f>IF(B319=0,"",IF('Cumulative Volumes Imperial'!$AQ$17=FALSE,(V319*$E$4)+(W319*$E$5),N319))</f>
        <v/>
      </c>
      <c r="P319" s="30" t="str">
        <f>IF(B319=0,"",(((1/12)*'Imperial Data'!$AC$4*'Imperial Data'!$AC$5)-C319)*$H$6)</f>
        <v/>
      </c>
      <c r="Q319" s="30"/>
      <c r="R319" s="30" t="str">
        <f>IF(B319=0,"",(((1/12)*'Imperial Data'!$AC$5*'Imperial Data'!$AC$7)-D319)*$H$6)</f>
        <v/>
      </c>
      <c r="S319" s="30"/>
      <c r="T319" s="30"/>
      <c r="U319" s="30"/>
      <c r="V319" s="30"/>
      <c r="W319" s="30" t="str">
        <f t="shared" si="64"/>
        <v/>
      </c>
      <c r="X319" s="31"/>
      <c r="Y319" s="30" t="str">
        <f t="shared" si="65"/>
        <v/>
      </c>
    </row>
    <row r="320" spans="2:25" x14ac:dyDescent="0.2">
      <c r="B320" s="34"/>
      <c r="C320" s="30" t="str">
        <f>IF(B320=0,"",IF('Imperial Data'!AG309&gt;=1, INDEX(Imperial_Incremental[], MATCH('Imperial Data'!AG309, Imperial_Incremental[Height], 1), MATCH('Cumulative Volumes Imperial'!$F$4, Imperial_Incremental[#Headers], 0)), 0))</f>
        <v/>
      </c>
      <c r="D320" s="30" t="str">
        <f>IF(B320=0,"",IF('Imperial Data'!AG309&gt;=1, INDEX(Imperial_Incremental[], MATCH('Imperial Data'!AG309, Imperial_Incremental[Height], 1), MATCH('Cumulative Volumes Imperial'!$F$4 &amp; "EC", Imperial_Incremental[#Headers], 0)), 0))</f>
        <v/>
      </c>
      <c r="E320" s="30"/>
      <c r="F320" s="30"/>
      <c r="G320" s="30" t="str">
        <f>IF(B320=0,"",IF('Cumulative Volumes Imperial'!$AQ$17=FALSE,I320,H320))</f>
        <v/>
      </c>
      <c r="H320" s="30"/>
      <c r="I320" s="30"/>
      <c r="J320" s="30" t="str">
        <f>IF(B320="","",IF('Cumulative Volumes Imperial'!$AQ$17=FALSE,L320,K320))</f>
        <v/>
      </c>
      <c r="K320" s="30"/>
      <c r="L320" s="30"/>
      <c r="M320" s="30" t="str">
        <f>IF($E$8+45+$E$9&gt;989,"FALSE",IF(B320="","",IF('Cumulative Volumes Imperial'!$AQ$17=FALSE,O320,N320)))</f>
        <v/>
      </c>
      <c r="N320" s="30"/>
      <c r="O320" s="30" t="str">
        <f>IF(B320=0,"",IF('Cumulative Volumes Imperial'!$AQ$17=FALSE,(V320*$E$4)+(W320*$E$5),N320))</f>
        <v/>
      </c>
      <c r="P320" s="30" t="str">
        <f>IF(B320=0,"",(((1/12)*'Imperial Data'!$AC$4*'Imperial Data'!$AC$5)-C320)*$H$6)</f>
        <v/>
      </c>
      <c r="Q320" s="30"/>
      <c r="R320" s="30" t="str">
        <f>IF(B320=0,"",(((1/12)*'Imperial Data'!$AC$5*'Imperial Data'!$AC$7)-D320)*$H$6)</f>
        <v/>
      </c>
      <c r="S320" s="30"/>
      <c r="T320" s="30"/>
      <c r="U320" s="30"/>
      <c r="V320" s="30"/>
      <c r="W320" s="30" t="str">
        <f t="shared" si="64"/>
        <v/>
      </c>
      <c r="X320" s="31"/>
      <c r="Y320" s="30" t="str">
        <f t="shared" si="65"/>
        <v/>
      </c>
    </row>
    <row r="321" spans="2:25" x14ac:dyDescent="0.2">
      <c r="B321" s="34"/>
      <c r="C321" s="30" t="str">
        <f>IF(B321=0,"",IF('Imperial Data'!AG310&gt;=1, INDEX(Imperial_Incremental[], MATCH('Imperial Data'!AG310, Imperial_Incremental[Height], 1), MATCH('Cumulative Volumes Imperial'!$F$4, Imperial_Incremental[#Headers], 0)), 0))</f>
        <v/>
      </c>
      <c r="D321" s="30" t="str">
        <f>IF(B321=0,"",IF('Imperial Data'!AG310&gt;=1, INDEX(Imperial_Incremental[], MATCH('Imperial Data'!AG310, Imperial_Incremental[Height], 1), MATCH('Cumulative Volumes Imperial'!$F$4 &amp; "EC", Imperial_Incremental[#Headers], 0)), 0))</f>
        <v/>
      </c>
      <c r="E321" s="30"/>
      <c r="F321" s="30"/>
      <c r="G321" s="30" t="str">
        <f>IF(B321=0,"",IF('Cumulative Volumes Imperial'!$AQ$17=FALSE,I321,H321))</f>
        <v/>
      </c>
      <c r="H321" s="30"/>
      <c r="I321" s="30"/>
      <c r="J321" s="30" t="str">
        <f>IF(B321="","",IF('Cumulative Volumes Imperial'!$AQ$17=FALSE,L321,K321))</f>
        <v/>
      </c>
      <c r="K321" s="30"/>
      <c r="L321" s="30"/>
      <c r="M321" s="30" t="str">
        <f>IF($E$8+45+$E$9&gt;989,"FALSE",IF(B321="","",IF('Cumulative Volumes Imperial'!$AQ$17=FALSE,O321,N321)))</f>
        <v/>
      </c>
      <c r="N321" s="30"/>
      <c r="O321" s="30" t="str">
        <f>IF(B321=0,"",IF('Cumulative Volumes Imperial'!$AQ$17=FALSE,(V321*$E$4)+(W321*$E$5),N321))</f>
        <v/>
      </c>
      <c r="P321" s="30" t="str">
        <f>IF(B321=0,"",(((1/12)*'Imperial Data'!$AC$4*'Imperial Data'!$AC$5)-C321)*$H$6)</f>
        <v/>
      </c>
      <c r="Q321" s="30"/>
      <c r="R321" s="30" t="str">
        <f>IF(B321=0,"",(((1/12)*'Imperial Data'!$AC$5*'Imperial Data'!$AC$7)-D321)*$H$6)</f>
        <v/>
      </c>
      <c r="S321" s="30"/>
      <c r="T321" s="30"/>
      <c r="U321" s="30"/>
      <c r="V321" s="30"/>
      <c r="W321" s="30" t="str">
        <f t="shared" si="64"/>
        <v/>
      </c>
      <c r="X321" s="31"/>
      <c r="Y321" s="30" t="str">
        <f t="shared" si="65"/>
        <v/>
      </c>
    </row>
    <row r="322" spans="2:25" x14ac:dyDescent="0.2">
      <c r="B322" s="34"/>
      <c r="C322" s="30" t="str">
        <f>IF(B322=0,"",IF('Imperial Data'!AG311&gt;=1, INDEX(Imperial_Incremental[], MATCH('Imperial Data'!AG311, Imperial_Incremental[Height], 1), MATCH('Cumulative Volumes Imperial'!$F$4, Imperial_Incremental[#Headers], 0)), 0))</f>
        <v/>
      </c>
      <c r="D322" s="30" t="str">
        <f>IF(B322=0,"",IF('Imperial Data'!AG311&gt;=1, INDEX(Imperial_Incremental[], MATCH('Imperial Data'!AG311, Imperial_Incremental[Height], 1), MATCH('Cumulative Volumes Imperial'!$F$4 &amp; "EC", Imperial_Incremental[#Headers], 0)), 0))</f>
        <v/>
      </c>
      <c r="E322" s="30"/>
      <c r="F322" s="30"/>
      <c r="G322" s="30" t="str">
        <f>IF(B322=0,"",IF('Cumulative Volumes Imperial'!$AQ$17=FALSE,I322,H322))</f>
        <v/>
      </c>
      <c r="H322" s="30"/>
      <c r="I322" s="30"/>
      <c r="J322" s="30" t="str">
        <f>IF(B322="","",IF('Cumulative Volumes Imperial'!$AQ$17=FALSE,L322,K322))</f>
        <v/>
      </c>
      <c r="K322" s="30"/>
      <c r="L322" s="30"/>
      <c r="M322" s="30" t="str">
        <f>IF($E$8+45+$E$9&gt;989,"FALSE",IF(B322="","",IF('Cumulative Volumes Imperial'!$AQ$17=FALSE,O322,N322)))</f>
        <v/>
      </c>
      <c r="N322" s="30"/>
      <c r="O322" s="30" t="str">
        <f>IF(B322=0,"",IF('Cumulative Volumes Imperial'!$AQ$17=FALSE,(V322*$E$4)+(W322*$E$5),N322))</f>
        <v/>
      </c>
      <c r="P322" s="30" t="str">
        <f>IF(B322=0,"",(((1/12)*'Imperial Data'!$AC$4*'Imperial Data'!$AC$5)-C322)*$H$6)</f>
        <v/>
      </c>
      <c r="Q322" s="30"/>
      <c r="R322" s="30" t="str">
        <f>IF(B322=0,"",(((1/12)*'Imperial Data'!$AC$5*'Imperial Data'!$AC$7)-D322)*$H$6)</f>
        <v/>
      </c>
      <c r="S322" s="30"/>
      <c r="T322" s="30"/>
      <c r="U322" s="30"/>
      <c r="V322" s="30"/>
      <c r="W322" s="30" t="str">
        <f t="shared" si="64"/>
        <v/>
      </c>
      <c r="X322" s="31"/>
      <c r="Y322" s="30" t="str">
        <f t="shared" si="65"/>
        <v/>
      </c>
    </row>
    <row r="323" spans="2:25" x14ac:dyDescent="0.2">
      <c r="B323" s="34"/>
      <c r="C323" s="30" t="str">
        <f>IF(B323=0,"",IF('Imperial Data'!AG312&gt;=1, INDEX(Imperial_Incremental[], MATCH('Imperial Data'!AG312, Imperial_Incremental[Height], 1), MATCH('Cumulative Volumes Imperial'!$F$4, Imperial_Incremental[#Headers], 0)), 0))</f>
        <v/>
      </c>
      <c r="D323" s="30" t="str">
        <f>IF(B323=0,"",IF('Imperial Data'!AG312&gt;=1, INDEX(Imperial_Incremental[], MATCH('Imperial Data'!AG312, Imperial_Incremental[Height], 1), MATCH('Cumulative Volumes Imperial'!$F$4 &amp; "EC", Imperial_Incremental[#Headers], 0)), 0))</f>
        <v/>
      </c>
      <c r="E323" s="30"/>
      <c r="F323" s="30"/>
      <c r="G323" s="30" t="str">
        <f>IF(B323=0,"",IF('Cumulative Volumes Imperial'!$AQ$17=FALSE,I323,H323))</f>
        <v/>
      </c>
      <c r="H323" s="30"/>
      <c r="I323" s="30"/>
      <c r="J323" s="30" t="str">
        <f>IF(B323="","",IF('Cumulative Volumes Imperial'!$AQ$17=FALSE,L323,K323))</f>
        <v/>
      </c>
      <c r="K323" s="30"/>
      <c r="L323" s="30"/>
      <c r="M323" s="30" t="str">
        <f>IF($E$8+45+$E$9&gt;989,"FALSE",IF(B323="","",IF('Cumulative Volumes Imperial'!$AQ$17=FALSE,O323,N323)))</f>
        <v/>
      </c>
      <c r="N323" s="30"/>
      <c r="O323" s="30" t="str">
        <f>IF(B323=0,"",IF('Cumulative Volumes Imperial'!$AQ$17=FALSE,(V323*$E$4)+(W323*$E$5),N323))</f>
        <v/>
      </c>
      <c r="P323" s="30" t="str">
        <f>IF(B323=0,"",(((1/12)*'Imperial Data'!$AC$4*'Imperial Data'!$AC$5)-C323)*$H$6)</f>
        <v/>
      </c>
      <c r="Q323" s="30"/>
      <c r="R323" s="30" t="str">
        <f>IF(B323=0,"",(((1/12)*'Imperial Data'!$AC$5*'Imperial Data'!$AC$7)-D323)*$H$6)</f>
        <v/>
      </c>
      <c r="S323" s="30"/>
      <c r="T323" s="30"/>
      <c r="U323" s="30"/>
      <c r="V323" s="30"/>
      <c r="W323" s="30" t="str">
        <f t="shared" si="64"/>
        <v/>
      </c>
      <c r="X323" s="31"/>
      <c r="Y323" s="30" t="str">
        <f t="shared" si="65"/>
        <v/>
      </c>
    </row>
    <row r="324" spans="2:25" x14ac:dyDescent="0.2">
      <c r="B324" s="34"/>
      <c r="C324" s="30" t="str">
        <f>IF(B324=0,"",IF('Imperial Data'!AG313&gt;=1, INDEX(Imperial_Incremental[], MATCH('Imperial Data'!AG313, Imperial_Incremental[Height], 1), MATCH('Cumulative Volumes Imperial'!$F$4, Imperial_Incremental[#Headers], 0)), 0))</f>
        <v/>
      </c>
      <c r="D324" s="30" t="str">
        <f>IF(B324=0,"",IF('Imperial Data'!AG313&gt;=1, INDEX(Imperial_Incremental[], MATCH('Imperial Data'!AG313, Imperial_Incremental[Height], 1), MATCH('Cumulative Volumes Imperial'!$F$4 &amp; "EC", Imperial_Incremental[#Headers], 0)), 0))</f>
        <v/>
      </c>
      <c r="E324" s="30"/>
      <c r="F324" s="30"/>
      <c r="G324" s="30" t="str">
        <f>IF(B324=0,"",IF('Cumulative Volumes Imperial'!$AQ$17=FALSE,I324,H324))</f>
        <v/>
      </c>
      <c r="H324" s="30"/>
      <c r="I324" s="30"/>
      <c r="J324" s="30" t="str">
        <f>IF(B324="","",IF('Cumulative Volumes Imperial'!$AQ$17=FALSE,L324,K324))</f>
        <v/>
      </c>
      <c r="K324" s="30"/>
      <c r="L324" s="30"/>
      <c r="M324" s="30" t="str">
        <f>IF($E$8+45+$E$9&gt;989,"FALSE",IF(B324="","",IF('Cumulative Volumes Imperial'!$AQ$17=FALSE,O324,N324)))</f>
        <v/>
      </c>
      <c r="N324" s="30"/>
      <c r="O324" s="30" t="str">
        <f>IF(B324=0,"",IF('Cumulative Volumes Imperial'!$AQ$17=FALSE,(V324*$E$4)+(W324*$E$5),N324))</f>
        <v/>
      </c>
      <c r="P324" s="30" t="str">
        <f>IF(B324=0,"",(((1/12)*'Imperial Data'!$AC$4*'Imperial Data'!$AC$5)-C324)*$H$6)</f>
        <v/>
      </c>
      <c r="Q324" s="30"/>
      <c r="R324" s="30" t="str">
        <f>IF(B324=0,"",(((1/12)*'Imperial Data'!$AC$5*'Imperial Data'!$AC$7)-D324)*$H$6)</f>
        <v/>
      </c>
      <c r="S324" s="30"/>
      <c r="T324" s="30"/>
      <c r="U324" s="30"/>
      <c r="V324" s="30"/>
      <c r="W324" s="30" t="str">
        <f t="shared" si="64"/>
        <v/>
      </c>
      <c r="X324" s="31"/>
      <c r="Y324" s="30" t="str">
        <f t="shared" si="65"/>
        <v/>
      </c>
    </row>
    <row r="325" spans="2:25" x14ac:dyDescent="0.2">
      <c r="B325" s="34"/>
      <c r="C325" s="30" t="str">
        <f>IF(B325=0,"",IF('Imperial Data'!AG314&gt;=1, INDEX(Imperial_Incremental[], MATCH('Imperial Data'!AG314, Imperial_Incremental[Height], 1), MATCH('Cumulative Volumes Imperial'!$F$4, Imperial_Incremental[#Headers], 0)), 0))</f>
        <v/>
      </c>
      <c r="D325" s="30" t="str">
        <f>IF(B325=0,"",IF('Imperial Data'!AG314&gt;=1, INDEX(Imperial_Incremental[], MATCH('Imperial Data'!AG314, Imperial_Incremental[Height], 1), MATCH('Cumulative Volumes Imperial'!$F$4 &amp; "EC", Imperial_Incremental[#Headers], 0)), 0))</f>
        <v/>
      </c>
      <c r="E325" s="30"/>
      <c r="F325" s="30"/>
      <c r="G325" s="30" t="str">
        <f>IF(B325=0,"",IF('Cumulative Volumes Imperial'!$AQ$17=FALSE,I325,H325))</f>
        <v/>
      </c>
      <c r="H325" s="30"/>
      <c r="I325" s="30"/>
      <c r="J325" s="30" t="str">
        <f>IF(B325="","",IF('Cumulative Volumes Imperial'!$AQ$17=FALSE,L325,K325))</f>
        <v/>
      </c>
      <c r="K325" s="30"/>
      <c r="L325" s="30"/>
      <c r="M325" s="30" t="str">
        <f>IF($E$8+45+$E$9&gt;989,"FALSE",IF(B325="","",IF('Cumulative Volumes Imperial'!$AQ$17=FALSE,O325,N325)))</f>
        <v/>
      </c>
      <c r="N325" s="30"/>
      <c r="O325" s="30" t="str">
        <f>IF(B325=0,"",IF('Cumulative Volumes Imperial'!$AQ$17=FALSE,(V325*$E$4)+(W325*$E$5),N325))</f>
        <v/>
      </c>
      <c r="P325" s="30" t="str">
        <f>IF(B325=0,"",(((1/12)*'Imperial Data'!$AC$4*'Imperial Data'!$AC$5)-C325)*$H$6)</f>
        <v/>
      </c>
      <c r="Q325" s="30"/>
      <c r="R325" s="30" t="str">
        <f>IF(B325=0,"",(((1/12)*'Imperial Data'!$AC$5*'Imperial Data'!$AC$7)-D325)*$H$6)</f>
        <v/>
      </c>
      <c r="S325" s="30"/>
      <c r="T325" s="30"/>
      <c r="U325" s="30"/>
      <c r="V325" s="30"/>
      <c r="W325" s="30" t="str">
        <f t="shared" si="64"/>
        <v/>
      </c>
      <c r="X325" s="31"/>
      <c r="Y325" s="30" t="str">
        <f t="shared" si="65"/>
        <v/>
      </c>
    </row>
    <row r="326" spans="2:25" x14ac:dyDescent="0.2">
      <c r="B326" s="34"/>
      <c r="C326" s="30" t="str">
        <f>IF(B326=0,"",IF('Imperial Data'!AG315&gt;=1, INDEX(Imperial_Incremental[], MATCH('Imperial Data'!AG315, Imperial_Incremental[Height], 1), MATCH('Cumulative Volumes Imperial'!$F$4, Imperial_Incremental[#Headers], 0)), 0))</f>
        <v/>
      </c>
      <c r="D326" s="30" t="str">
        <f>IF(B326=0,"",IF('Imperial Data'!AG315&gt;=1, INDEX(Imperial_Incremental[], MATCH('Imperial Data'!AG315, Imperial_Incremental[Height], 1), MATCH('Cumulative Volumes Imperial'!$F$4 &amp; "EC", Imperial_Incremental[#Headers], 0)), 0))</f>
        <v/>
      </c>
      <c r="E326" s="30"/>
      <c r="F326" s="30"/>
      <c r="G326" s="30" t="str">
        <f>IF(B326=0,"",IF('Cumulative Volumes Imperial'!$AQ$17=FALSE,I326,H326))</f>
        <v/>
      </c>
      <c r="H326" s="30"/>
      <c r="I326" s="30"/>
      <c r="J326" s="30" t="str">
        <f>IF(B326="","",IF('Cumulative Volumes Imperial'!$AQ$17=FALSE,L326,K326))</f>
        <v/>
      </c>
      <c r="K326" s="30"/>
      <c r="L326" s="30"/>
      <c r="M326" s="30" t="str">
        <f>IF($E$8+45+$E$9&gt;989,"FALSE",IF(B326="","",IF('Cumulative Volumes Imperial'!$AQ$17=FALSE,O326,N326)))</f>
        <v/>
      </c>
      <c r="N326" s="30"/>
      <c r="O326" s="30" t="str">
        <f>IF(B326=0,"",IF('Cumulative Volumes Imperial'!$AQ$17=FALSE,(V326*$E$4)+(W326*$E$5),N326))</f>
        <v/>
      </c>
      <c r="P326" s="30" t="str">
        <f>IF(B326=0,"",(((1/12)*'Imperial Data'!$AC$4*'Imperial Data'!$AC$5)-C326)*$H$6)</f>
        <v/>
      </c>
      <c r="Q326" s="30"/>
      <c r="R326" s="30" t="str">
        <f>IF(B326=0,"",(((1/12)*'Imperial Data'!$AC$5*'Imperial Data'!$AC$7)-D326)*$H$6)</f>
        <v/>
      </c>
      <c r="S326" s="30"/>
      <c r="T326" s="30"/>
      <c r="U326" s="30"/>
      <c r="V326" s="30"/>
      <c r="W326" s="30" t="str">
        <f t="shared" si="64"/>
        <v/>
      </c>
      <c r="X326" s="31"/>
      <c r="Y326" s="30" t="str">
        <f t="shared" si="65"/>
        <v/>
      </c>
    </row>
    <row r="327" spans="2:25" x14ac:dyDescent="0.2">
      <c r="B327" s="34"/>
      <c r="C327" s="30" t="str">
        <f>IF(B327=0,"",IF('Imperial Data'!AG316&gt;=1, INDEX(Imperial_Incremental[], MATCH('Imperial Data'!AG316, Imperial_Incremental[Height], 1), MATCH('Cumulative Volumes Imperial'!$F$4, Imperial_Incremental[#Headers], 0)), 0))</f>
        <v/>
      </c>
      <c r="D327" s="30" t="str">
        <f>IF(B327=0,"",IF('Imperial Data'!AG316&gt;=1, INDEX(Imperial_Incremental[], MATCH('Imperial Data'!AG316, Imperial_Incremental[Height], 1), MATCH('Cumulative Volumes Imperial'!$F$4 &amp; "EC", Imperial_Incremental[#Headers], 0)), 0))</f>
        <v/>
      </c>
      <c r="E327" s="30"/>
      <c r="F327" s="30"/>
      <c r="G327" s="30" t="str">
        <f>IF(B327=0,"",IF('Cumulative Volumes Imperial'!$AQ$17=FALSE,I327,H327))</f>
        <v/>
      </c>
      <c r="H327" s="30"/>
      <c r="I327" s="30"/>
      <c r="J327" s="30" t="str">
        <f>IF(B327="","",IF('Cumulative Volumes Imperial'!$AQ$17=FALSE,L327,K327))</f>
        <v/>
      </c>
      <c r="K327" s="30"/>
      <c r="L327" s="30"/>
      <c r="M327" s="30" t="str">
        <f>IF($E$8+45+$E$9&gt;989,"FALSE",IF(B327="","",IF('Cumulative Volumes Imperial'!$AQ$17=FALSE,O327,N327)))</f>
        <v/>
      </c>
      <c r="N327" s="30"/>
      <c r="O327" s="30" t="str">
        <f>IF(B327=0,"",IF('Cumulative Volumes Imperial'!$AQ$17=FALSE,(V327*$E$4)+(W327*$E$5),N327))</f>
        <v/>
      </c>
      <c r="P327" s="30" t="str">
        <f>IF(B327=0,"",(((1/12)*'Imperial Data'!$AC$4*'Imperial Data'!$AC$5)-C327)*$H$6)</f>
        <v/>
      </c>
      <c r="Q327" s="30"/>
      <c r="R327" s="30" t="str">
        <f>IF(B327=0,"",(((1/12)*'Imperial Data'!$AC$5*'Imperial Data'!$AC$7)-D327)*$H$6)</f>
        <v/>
      </c>
      <c r="S327" s="30"/>
      <c r="T327" s="30"/>
      <c r="U327" s="30"/>
      <c r="V327" s="30"/>
      <c r="W327" s="30" t="str">
        <f t="shared" si="64"/>
        <v/>
      </c>
      <c r="X327" s="31"/>
      <c r="Y327" s="30" t="str">
        <f t="shared" si="65"/>
        <v/>
      </c>
    </row>
    <row r="328" spans="2:25" x14ac:dyDescent="0.2">
      <c r="B328" s="34"/>
      <c r="C328" s="30" t="str">
        <f>IF(B328=0,"",IF('Imperial Data'!AG317&gt;=1, INDEX(Imperial_Incremental[], MATCH('Imperial Data'!AG317, Imperial_Incremental[Height], 1), MATCH('Cumulative Volumes Imperial'!$F$4, Imperial_Incremental[#Headers], 0)), 0))</f>
        <v/>
      </c>
      <c r="D328" s="30" t="str">
        <f>IF(B328=0,"",IF('Imperial Data'!AG317&gt;=1, INDEX(Imperial_Incremental[], MATCH('Imperial Data'!AG317, Imperial_Incremental[Height], 1), MATCH('Cumulative Volumes Imperial'!$F$4 &amp; "EC", Imperial_Incremental[#Headers], 0)), 0))</f>
        <v/>
      </c>
      <c r="E328" s="30"/>
      <c r="F328" s="30"/>
      <c r="G328" s="30" t="str">
        <f>IF(B328=0,"",IF('Cumulative Volumes Imperial'!$AQ$17=FALSE,I328,H328))</f>
        <v/>
      </c>
      <c r="H328" s="30"/>
      <c r="I328" s="30"/>
      <c r="J328" s="30" t="str">
        <f>IF(B328="","",IF('Cumulative Volumes Imperial'!$AQ$17=FALSE,L328,K328))</f>
        <v/>
      </c>
      <c r="K328" s="30"/>
      <c r="L328" s="30"/>
      <c r="M328" s="30" t="str">
        <f>IF($E$8+45+$E$9&gt;989,"FALSE",IF(B328="","",IF('Cumulative Volumes Imperial'!$AQ$17=FALSE,O328,N328)))</f>
        <v/>
      </c>
      <c r="N328" s="30"/>
      <c r="O328" s="30" t="str">
        <f>IF(B328=0,"",IF('Cumulative Volumes Imperial'!$AQ$17=FALSE,(V328*$E$4)+(W328*$E$5),N328))</f>
        <v/>
      </c>
      <c r="P328" s="30" t="str">
        <f>IF(B328=0,"",(((1/12)*'Imperial Data'!$AC$4*'Imperial Data'!$AC$5)-C328)*$H$6)</f>
        <v/>
      </c>
      <c r="Q328" s="30"/>
      <c r="R328" s="30" t="str">
        <f>IF(B328=0,"",(((1/12)*'Imperial Data'!$AC$5*'Imperial Data'!$AC$7)-D328)*$H$6)</f>
        <v/>
      </c>
      <c r="S328" s="30"/>
      <c r="T328" s="30"/>
      <c r="U328" s="30"/>
      <c r="V328" s="30"/>
      <c r="W328" s="30" t="str">
        <f t="shared" si="64"/>
        <v/>
      </c>
      <c r="X328" s="31"/>
      <c r="Y328" s="30" t="str">
        <f t="shared" si="65"/>
        <v/>
      </c>
    </row>
    <row r="329" spans="2:25" x14ac:dyDescent="0.2">
      <c r="B329" s="34"/>
      <c r="C329" s="30" t="str">
        <f>IF(B329=0,"",IF('Imperial Data'!AG318&gt;=1, INDEX(Imperial_Incremental[], MATCH('Imperial Data'!AG318, Imperial_Incremental[Height], 1), MATCH('Cumulative Volumes Imperial'!$F$4, Imperial_Incremental[#Headers], 0)), 0))</f>
        <v/>
      </c>
      <c r="D329" s="30" t="str">
        <f>IF(B329=0,"",IF('Imperial Data'!AG318&gt;=1, INDEX(Imperial_Incremental[], MATCH('Imperial Data'!AG318, Imperial_Incremental[Height], 1), MATCH('Cumulative Volumes Imperial'!$F$4 &amp; "EC", Imperial_Incremental[#Headers], 0)), 0))</f>
        <v/>
      </c>
      <c r="E329" s="30"/>
      <c r="F329" s="30"/>
      <c r="G329" s="30" t="str">
        <f>IF(B329=0,"",IF('Cumulative Volumes Imperial'!$AQ$17=FALSE,I329,H329))</f>
        <v/>
      </c>
      <c r="H329" s="30"/>
      <c r="I329" s="30"/>
      <c r="J329" s="30" t="str">
        <f>IF(B329="","",IF('Cumulative Volumes Imperial'!$AQ$17=FALSE,L329,K329))</f>
        <v/>
      </c>
      <c r="K329" s="30"/>
      <c r="L329" s="30"/>
      <c r="M329" s="30" t="str">
        <f>IF($E$8+45+$E$9&gt;989,"FALSE",IF(B329="","",IF('Cumulative Volumes Imperial'!$AQ$17=FALSE,O329,N329)))</f>
        <v/>
      </c>
      <c r="N329" s="30"/>
      <c r="O329" s="30" t="str">
        <f>IF(B329=0,"",IF('Cumulative Volumes Imperial'!$AQ$17=FALSE,(V329*$E$4)+(W329*$E$5),N329))</f>
        <v/>
      </c>
      <c r="P329" s="30" t="str">
        <f>IF(B329=0,"",(((1/12)*'Imperial Data'!$AC$4*'Imperial Data'!$AC$5)-C329)*$H$6)</f>
        <v/>
      </c>
      <c r="Q329" s="30"/>
      <c r="R329" s="30" t="str">
        <f>IF(B329=0,"",(((1/12)*'Imperial Data'!$AC$5*'Imperial Data'!$AC$7)-D329)*$H$6)</f>
        <v/>
      </c>
      <c r="S329" s="30"/>
      <c r="T329" s="30"/>
      <c r="U329" s="30"/>
      <c r="V329" s="30"/>
      <c r="W329" s="30" t="str">
        <f t="shared" si="64"/>
        <v/>
      </c>
      <c r="X329" s="31"/>
      <c r="Y329" s="30" t="str">
        <f t="shared" si="65"/>
        <v/>
      </c>
    </row>
    <row r="330" spans="2:25" x14ac:dyDescent="0.2">
      <c r="B330" s="34"/>
      <c r="C330" s="30" t="str">
        <f>IF(B330=0,"",IF('Imperial Data'!AG319&gt;=1, INDEX(Imperial_Incremental[], MATCH('Imperial Data'!AG319, Imperial_Incremental[Height], 1), MATCH('Cumulative Volumes Imperial'!$F$4, Imperial_Incremental[#Headers], 0)), 0))</f>
        <v/>
      </c>
      <c r="D330" s="30" t="str">
        <f>IF(B330=0,"",IF('Imperial Data'!AG319&gt;=1, INDEX(Imperial_Incremental[], MATCH('Imperial Data'!AG319, Imperial_Incremental[Height], 1), MATCH('Cumulative Volumes Imperial'!$F$4 &amp; "EC", Imperial_Incremental[#Headers], 0)), 0))</f>
        <v/>
      </c>
      <c r="E330" s="30"/>
      <c r="F330" s="30"/>
      <c r="G330" s="30" t="str">
        <f>IF(B330=0,"",IF('Cumulative Volumes Imperial'!$AQ$17=FALSE,I330,H330))</f>
        <v/>
      </c>
      <c r="H330" s="30"/>
      <c r="I330" s="30"/>
      <c r="J330" s="30" t="str">
        <f>IF(B330="","",IF('Cumulative Volumes Imperial'!$AQ$17=FALSE,L330,K330))</f>
        <v/>
      </c>
      <c r="K330" s="30"/>
      <c r="L330" s="30"/>
      <c r="M330" s="30" t="str">
        <f>IF($E$8+45+$E$9&gt;989,"FALSE",IF(B330="","",IF('Cumulative Volumes Imperial'!$AQ$17=FALSE,O330,N330)))</f>
        <v/>
      </c>
      <c r="N330" s="30"/>
      <c r="O330" s="30" t="str">
        <f>IF(B330=0,"",IF('Cumulative Volumes Imperial'!$AQ$17=FALSE,(V330*$E$4)+(W330*$E$5),N330))</f>
        <v/>
      </c>
      <c r="P330" s="30" t="str">
        <f>IF(B330=0,"",(((1/12)*'Imperial Data'!$AC$4*'Imperial Data'!$AC$5)-C330)*$H$6)</f>
        <v/>
      </c>
      <c r="Q330" s="30"/>
      <c r="R330" s="30" t="str">
        <f>IF(B330=0,"",(((1/12)*'Imperial Data'!$AC$5*'Imperial Data'!$AC$7)-D330)*$H$6)</f>
        <v/>
      </c>
      <c r="S330" s="30"/>
      <c r="T330" s="30"/>
      <c r="U330" s="30"/>
      <c r="V330" s="30"/>
      <c r="W330" s="30" t="str">
        <f t="shared" si="64"/>
        <v/>
      </c>
      <c r="X330" s="31"/>
      <c r="Y330" s="30" t="str">
        <f t="shared" si="65"/>
        <v/>
      </c>
    </row>
    <row r="331" spans="2:25" x14ac:dyDescent="0.2">
      <c r="B331" s="34"/>
      <c r="C331" s="30" t="str">
        <f>IF(B331=0,"",IF('Imperial Data'!AG320&gt;=1, INDEX(Imperial_Incremental[], MATCH('Imperial Data'!AG320, Imperial_Incremental[Height], 1), MATCH('Cumulative Volumes Imperial'!$F$4, Imperial_Incremental[#Headers], 0)), 0))</f>
        <v/>
      </c>
      <c r="D331" s="30" t="str">
        <f>IF(B331=0,"",IF('Imperial Data'!AG320&gt;=1, INDEX(Imperial_Incremental[], MATCH('Imperial Data'!AG320, Imperial_Incremental[Height], 1), MATCH('Cumulative Volumes Imperial'!$F$4 &amp; "EC", Imperial_Incremental[#Headers], 0)), 0))</f>
        <v/>
      </c>
      <c r="E331" s="30"/>
      <c r="F331" s="30"/>
      <c r="G331" s="30" t="str">
        <f>IF(B331=0,"",IF('Cumulative Volumes Imperial'!$AQ$17=FALSE,I331,H331))</f>
        <v/>
      </c>
      <c r="H331" s="30"/>
      <c r="I331" s="30"/>
      <c r="J331" s="30" t="str">
        <f>IF(B331="","",IF('Cumulative Volumes Imperial'!$AQ$17=FALSE,L331,K331))</f>
        <v/>
      </c>
      <c r="K331" s="30"/>
      <c r="L331" s="30"/>
      <c r="M331" s="30" t="str">
        <f>IF($E$8+45+$E$9&gt;989,"FALSE",IF(B331="","",IF('Cumulative Volumes Imperial'!$AQ$17=FALSE,O331,N331)))</f>
        <v/>
      </c>
      <c r="N331" s="30"/>
      <c r="O331" s="30" t="str">
        <f>IF(B331=0,"",IF('Cumulative Volumes Imperial'!$AQ$17=FALSE,(V331*$E$4)+(W331*$E$5),N331))</f>
        <v/>
      </c>
      <c r="P331" s="30" t="str">
        <f>IF(B331=0,"",(((1/12)*'Imperial Data'!$AC$4*'Imperial Data'!$AC$5)-C331)*$H$6)</f>
        <v/>
      </c>
      <c r="Q331" s="30"/>
      <c r="R331" s="30" t="str">
        <f>IF(B331=0,"",(((1/12)*'Imperial Data'!$AC$5*'Imperial Data'!$AC$7)-D331)*$H$6)</f>
        <v/>
      </c>
      <c r="S331" s="30"/>
      <c r="T331" s="30"/>
      <c r="U331" s="30"/>
      <c r="V331" s="30"/>
      <c r="W331" s="30" t="str">
        <f t="shared" si="64"/>
        <v/>
      </c>
      <c r="X331" s="31"/>
      <c r="Y331" s="30" t="str">
        <f t="shared" si="65"/>
        <v/>
      </c>
    </row>
    <row r="332" spans="2:25" x14ac:dyDescent="0.2">
      <c r="B332" s="34"/>
      <c r="C332" s="30" t="str">
        <f>IF(B332=0,"",IF('Imperial Data'!AG321&gt;=1, INDEX(Imperial_Incremental[], MATCH('Imperial Data'!AG321, Imperial_Incremental[Height], 1), MATCH('Cumulative Volumes Imperial'!$F$4, Imperial_Incremental[#Headers], 0)), 0))</f>
        <v/>
      </c>
      <c r="D332" s="30" t="str">
        <f>IF(B332=0,"",IF('Imperial Data'!AG321&gt;=1, INDEX(Imperial_Incremental[], MATCH('Imperial Data'!AG321, Imperial_Incremental[Height], 1), MATCH('Cumulative Volumes Imperial'!$F$4 &amp; "EC", Imperial_Incremental[#Headers], 0)), 0))</f>
        <v/>
      </c>
      <c r="E332" s="30"/>
      <c r="F332" s="30"/>
      <c r="G332" s="30" t="str">
        <f>IF(B332=0,"",IF('Cumulative Volumes Imperial'!$AQ$17=FALSE,I332,H332))</f>
        <v/>
      </c>
      <c r="H332" s="30"/>
      <c r="I332" s="30"/>
      <c r="J332" s="30" t="str">
        <f>IF(B332="","",IF('Cumulative Volumes Imperial'!$AQ$17=FALSE,L332,K332))</f>
        <v/>
      </c>
      <c r="K332" s="30"/>
      <c r="L332" s="30"/>
      <c r="M332" s="30" t="str">
        <f>IF($E$8+45+$E$9&gt;989,"FALSE",IF(B332="","",IF('Cumulative Volumes Imperial'!$AQ$17=FALSE,O332,N332)))</f>
        <v/>
      </c>
      <c r="N332" s="30"/>
      <c r="O332" s="30" t="str">
        <f>IF(B332=0,"",IF('Cumulative Volumes Imperial'!$AQ$17=FALSE,(V332*$E$4)+(W332*$E$5),N332))</f>
        <v/>
      </c>
      <c r="P332" s="30" t="str">
        <f>IF(B332=0,"",(((1/12)*'Imperial Data'!$AC$4*'Imperial Data'!$AC$5)-C332)*$H$6)</f>
        <v/>
      </c>
      <c r="Q332" s="30"/>
      <c r="R332" s="30" t="str">
        <f>IF(B332=0,"",(((1/12)*'Imperial Data'!$AC$5*'Imperial Data'!$AC$7)-D332)*$H$6)</f>
        <v/>
      </c>
      <c r="S332" s="30"/>
      <c r="T332" s="30"/>
      <c r="U332" s="30"/>
      <c r="V332" s="30"/>
      <c r="W332" s="30" t="str">
        <f t="shared" si="64"/>
        <v/>
      </c>
      <c r="X332" s="31"/>
      <c r="Y332" s="30" t="str">
        <f t="shared" si="65"/>
        <v/>
      </c>
    </row>
    <row r="333" spans="2:25" x14ac:dyDescent="0.2">
      <c r="B333" s="34"/>
      <c r="C333" s="30" t="str">
        <f>IF(B333=0,"",IF('Imperial Data'!AG322&gt;=1, INDEX(Imperial_Incremental[], MATCH('Imperial Data'!AG322, Imperial_Incremental[Height], 1), MATCH('Cumulative Volumes Imperial'!$F$4, Imperial_Incremental[#Headers], 0)), 0))</f>
        <v/>
      </c>
      <c r="D333" s="30" t="str">
        <f>IF(B333=0,"",IF('Imperial Data'!AG322&gt;=1, INDEX(Imperial_Incremental[], MATCH('Imperial Data'!AG322, Imperial_Incremental[Height], 1), MATCH('Cumulative Volumes Imperial'!$F$4 &amp; "EC", Imperial_Incremental[#Headers], 0)), 0))</f>
        <v/>
      </c>
      <c r="E333" s="30"/>
      <c r="F333" s="30"/>
      <c r="G333" s="30" t="str">
        <f>IF(B333=0,"",IF('Cumulative Volumes Imperial'!$AQ$17=FALSE,I333,H333))</f>
        <v/>
      </c>
      <c r="H333" s="30"/>
      <c r="I333" s="30"/>
      <c r="J333" s="30" t="str">
        <f>IF(B333="","",IF('Cumulative Volumes Imperial'!$AQ$17=FALSE,L333,K333))</f>
        <v/>
      </c>
      <c r="K333" s="30"/>
      <c r="L333" s="30"/>
      <c r="M333" s="30" t="str">
        <f>IF($E$8+45+$E$9&gt;989,"FALSE",IF(B333="","",IF('Cumulative Volumes Imperial'!$AQ$17=FALSE,O333,N333)))</f>
        <v/>
      </c>
      <c r="N333" s="30"/>
      <c r="O333" s="30" t="str">
        <f>IF(B333=0,"",IF('Cumulative Volumes Imperial'!$AQ$17=FALSE,(V333*$E$4)+(W333*$E$5),N333))</f>
        <v/>
      </c>
      <c r="P333" s="30" t="str">
        <f>IF(B333=0,"",(((1/12)*'Imperial Data'!$AC$4*'Imperial Data'!$AC$5)-C333)*$H$6)</f>
        <v/>
      </c>
      <c r="Q333" s="30"/>
      <c r="R333" s="30" t="str">
        <f>IF(B333=0,"",(((1/12)*'Imperial Data'!$AC$5*'Imperial Data'!$AC$7)-D333)*$H$6)</f>
        <v/>
      </c>
      <c r="S333" s="30"/>
      <c r="T333" s="30"/>
      <c r="U333" s="30"/>
      <c r="V333" s="30"/>
      <c r="W333" s="30" t="str">
        <f t="shared" si="64"/>
        <v/>
      </c>
      <c r="X333" s="31"/>
      <c r="Y333" s="30" t="str">
        <f t="shared" si="65"/>
        <v/>
      </c>
    </row>
    <row r="334" spans="2:25" x14ac:dyDescent="0.2">
      <c r="B334" s="34"/>
      <c r="C334" s="30" t="str">
        <f>IF(B334=0,"",IF('Imperial Data'!AG323&gt;=1, INDEX(Imperial_Incremental[], MATCH('Imperial Data'!AG323, Imperial_Incremental[Height], 1), MATCH('Cumulative Volumes Imperial'!$F$4, Imperial_Incremental[#Headers], 0)), 0))</f>
        <v/>
      </c>
      <c r="D334" s="30" t="str">
        <f>IF(B334=0,"",IF('Imperial Data'!AG323&gt;=1, INDEX(Imperial_Incremental[], MATCH('Imperial Data'!AG323, Imperial_Incremental[Height], 1), MATCH('Cumulative Volumes Imperial'!$F$4 &amp; "EC", Imperial_Incremental[#Headers], 0)), 0))</f>
        <v/>
      </c>
      <c r="E334" s="30"/>
      <c r="F334" s="30"/>
      <c r="G334" s="30" t="str">
        <f>IF(B334=0,"",IF('Cumulative Volumes Imperial'!$AQ$17=FALSE,I334,H334))</f>
        <v/>
      </c>
      <c r="H334" s="30"/>
      <c r="I334" s="30"/>
      <c r="J334" s="30" t="str">
        <f>IF(B334="","",IF('Cumulative Volumes Imperial'!$AQ$17=FALSE,L334,K334))</f>
        <v/>
      </c>
      <c r="K334" s="30"/>
      <c r="L334" s="30"/>
      <c r="M334" s="30" t="str">
        <f>IF($E$8+45+$E$9&gt;989,"FALSE",IF(B334="","",IF('Cumulative Volumes Imperial'!$AQ$17=FALSE,O334,N334)))</f>
        <v/>
      </c>
      <c r="N334" s="30"/>
      <c r="O334" s="30" t="str">
        <f>IF(B334=0,"",IF('Cumulative Volumes Imperial'!$AQ$17=FALSE,(V334*$E$4)+(W334*$E$5),N334))</f>
        <v/>
      </c>
      <c r="P334" s="30" t="str">
        <f>IF(B334=0,"",(((1/12)*'Imperial Data'!$AC$4*'Imperial Data'!$AC$5)-C334)*$H$6)</f>
        <v/>
      </c>
      <c r="Q334" s="30"/>
      <c r="R334" s="30" t="str">
        <f>IF(B334=0,"",(((1/12)*'Imperial Data'!$AC$5*'Imperial Data'!$AC$7)-D334)*$H$6)</f>
        <v/>
      </c>
      <c r="S334" s="30"/>
      <c r="T334" s="30"/>
      <c r="U334" s="30"/>
      <c r="V334" s="30"/>
      <c r="W334" s="30" t="str">
        <f t="shared" si="64"/>
        <v/>
      </c>
      <c r="X334" s="31"/>
      <c r="Y334" s="30" t="str">
        <f t="shared" si="65"/>
        <v/>
      </c>
    </row>
    <row r="335" spans="2:25" x14ac:dyDescent="0.2">
      <c r="B335" s="34"/>
      <c r="C335" s="30" t="str">
        <f>IF(B335=0,"",IF('Imperial Data'!AG324&gt;=1, INDEX(Imperial_Incremental[], MATCH('Imperial Data'!AG324, Imperial_Incremental[Height], 1), MATCH('Cumulative Volumes Imperial'!$F$4, Imperial_Incremental[#Headers], 0)), 0))</f>
        <v/>
      </c>
      <c r="D335" s="30" t="str">
        <f>IF(B335=0,"",IF('Imperial Data'!AG324&gt;=1, INDEX(Imperial_Incremental[], MATCH('Imperial Data'!AG324, Imperial_Incremental[Height], 1), MATCH('Cumulative Volumes Imperial'!$F$4 &amp; "EC", Imperial_Incremental[#Headers], 0)), 0))</f>
        <v/>
      </c>
      <c r="E335" s="30"/>
      <c r="F335" s="30"/>
      <c r="G335" s="30" t="str">
        <f>IF(B335=0,"",IF('Cumulative Volumes Imperial'!$AQ$17=FALSE,I335,H335))</f>
        <v/>
      </c>
      <c r="H335" s="30"/>
      <c r="I335" s="30"/>
      <c r="J335" s="30" t="str">
        <f>IF(B335="","",IF('Cumulative Volumes Imperial'!$AQ$17=FALSE,L335,K335))</f>
        <v/>
      </c>
      <c r="K335" s="30"/>
      <c r="L335" s="30"/>
      <c r="M335" s="30" t="str">
        <f>IF($E$8+45+$E$9&gt;989,"FALSE",IF(B335="","",IF('Cumulative Volumes Imperial'!$AQ$17=FALSE,O335,N335)))</f>
        <v/>
      </c>
      <c r="N335" s="30"/>
      <c r="O335" s="30" t="str">
        <f>IF(B335=0,"",IF('Cumulative Volumes Imperial'!$AQ$17=FALSE,(V335*$E$4)+(W335*$E$5),N335))</f>
        <v/>
      </c>
      <c r="P335" s="30" t="str">
        <f>IF(B335=0,"",(((1/12)*'Imperial Data'!$AC$4*'Imperial Data'!$AC$5)-C335)*$H$6)</f>
        <v/>
      </c>
      <c r="Q335" s="30"/>
      <c r="R335" s="30" t="str">
        <f>IF(B335=0,"",(((1/12)*'Imperial Data'!$AC$5*'Imperial Data'!$AC$7)-D335)*$H$6)</f>
        <v/>
      </c>
      <c r="S335" s="30"/>
      <c r="T335" s="30"/>
      <c r="U335" s="30"/>
      <c r="V335" s="30"/>
      <c r="W335" s="30" t="str">
        <f t="shared" ref="W335:W398" si="66">IF(B335=0,"",IF(B335=1,D335+R335,W336+D335+R335))</f>
        <v/>
      </c>
      <c r="X335" s="31"/>
      <c r="Y335" s="30" t="str">
        <f t="shared" ref="Y335:Y398" si="67">IF(B335=0,"",$E$7+B335/12)</f>
        <v/>
      </c>
    </row>
    <row r="336" spans="2:25" x14ac:dyDescent="0.2">
      <c r="B336" s="34"/>
      <c r="C336" s="30" t="str">
        <f>IF(B336=0,"",IF('Imperial Data'!AG325&gt;=1, INDEX(Imperial_Incremental[], MATCH('Imperial Data'!AG325, Imperial_Incremental[Height], 1), MATCH('Cumulative Volumes Imperial'!$F$4, Imperial_Incremental[#Headers], 0)), 0))</f>
        <v/>
      </c>
      <c r="D336" s="30" t="str">
        <f>IF(B336=0,"",IF('Imperial Data'!AG325&gt;=1, INDEX(Imperial_Incremental[], MATCH('Imperial Data'!AG325, Imperial_Incremental[Height], 1), MATCH('Cumulative Volumes Imperial'!$F$4 &amp; "EC", Imperial_Incremental[#Headers], 0)), 0))</f>
        <v/>
      </c>
      <c r="E336" s="30"/>
      <c r="F336" s="30"/>
      <c r="G336" s="30" t="str">
        <f>IF(B336=0,"",IF('Cumulative Volumes Imperial'!$AQ$17=FALSE,I336,H336))</f>
        <v/>
      </c>
      <c r="H336" s="30"/>
      <c r="I336" s="30"/>
      <c r="J336" s="30" t="str">
        <f>IF(B336="","",IF('Cumulative Volumes Imperial'!$AQ$17=FALSE,L336,K336))</f>
        <v/>
      </c>
      <c r="K336" s="30"/>
      <c r="L336" s="30"/>
      <c r="M336" s="30" t="str">
        <f>IF($E$8+45+$E$9&gt;989,"FALSE",IF(B336="","",IF('Cumulative Volumes Imperial'!$AQ$17=FALSE,O336,N336)))</f>
        <v/>
      </c>
      <c r="N336" s="30"/>
      <c r="O336" s="30" t="str">
        <f>IF(B336=0,"",IF('Cumulative Volumes Imperial'!$AQ$17=FALSE,(V336*$E$4)+(W336*$E$5),N336))</f>
        <v/>
      </c>
      <c r="P336" s="30" t="str">
        <f>IF(B336=0,"",(((1/12)*'Imperial Data'!$AC$4*'Imperial Data'!$AC$5)-C336)*$H$6)</f>
        <v/>
      </c>
      <c r="Q336" s="30"/>
      <c r="R336" s="30" t="str">
        <f>IF(B336=0,"",(((1/12)*'Imperial Data'!$AC$5*'Imperial Data'!$AC$7)-D336)*$H$6)</f>
        <v/>
      </c>
      <c r="S336" s="30"/>
      <c r="T336" s="30"/>
      <c r="U336" s="30"/>
      <c r="V336" s="30"/>
      <c r="W336" s="30" t="str">
        <f t="shared" si="66"/>
        <v/>
      </c>
      <c r="X336" s="31"/>
      <c r="Y336" s="30" t="str">
        <f t="shared" si="67"/>
        <v/>
      </c>
    </row>
    <row r="337" spans="2:25" x14ac:dyDescent="0.2">
      <c r="B337" s="34"/>
      <c r="C337" s="30" t="str">
        <f>IF(B337=0,"",IF('Imperial Data'!AG326&gt;=1, INDEX(Imperial_Incremental[], MATCH('Imperial Data'!AG326, Imperial_Incremental[Height], 1), MATCH('Cumulative Volumes Imperial'!$F$4, Imperial_Incremental[#Headers], 0)), 0))</f>
        <v/>
      </c>
      <c r="D337" s="30" t="str">
        <f>IF(B337=0,"",IF('Imperial Data'!AG326&gt;=1, INDEX(Imperial_Incremental[], MATCH('Imperial Data'!AG326, Imperial_Incremental[Height], 1), MATCH('Cumulative Volumes Imperial'!$F$4 &amp; "EC", Imperial_Incremental[#Headers], 0)), 0))</f>
        <v/>
      </c>
      <c r="E337" s="30"/>
      <c r="F337" s="30"/>
      <c r="G337" s="30" t="str">
        <f>IF(B337=0,"",IF('Cumulative Volumes Imperial'!$AQ$17=FALSE,I337,H337))</f>
        <v/>
      </c>
      <c r="H337" s="30"/>
      <c r="I337" s="30"/>
      <c r="J337" s="30" t="str">
        <f>IF(B337="","",IF('Cumulative Volumes Imperial'!$AQ$17=FALSE,L337,K337))</f>
        <v/>
      </c>
      <c r="K337" s="30"/>
      <c r="L337" s="30"/>
      <c r="M337" s="30" t="str">
        <f>IF($E$8+45+$E$9&gt;989,"FALSE",IF(B337="","",IF('Cumulative Volumes Imperial'!$AQ$17=FALSE,O337,N337)))</f>
        <v/>
      </c>
      <c r="N337" s="30"/>
      <c r="O337" s="30" t="str">
        <f>IF(B337=0,"",IF('Cumulative Volumes Imperial'!$AQ$17=FALSE,(V337*$E$4)+(W337*$E$5),N337))</f>
        <v/>
      </c>
      <c r="P337" s="30" t="str">
        <f>IF(B337=0,"",(((1/12)*'Imperial Data'!$AC$4*'Imperial Data'!$AC$5)-C337)*$H$6)</f>
        <v/>
      </c>
      <c r="Q337" s="30"/>
      <c r="R337" s="30" t="str">
        <f>IF(B337=0,"",(((1/12)*'Imperial Data'!$AC$5*'Imperial Data'!$AC$7)-D337)*$H$6)</f>
        <v/>
      </c>
      <c r="S337" s="30"/>
      <c r="T337" s="30"/>
      <c r="U337" s="30"/>
      <c r="V337" s="30"/>
      <c r="W337" s="30" t="str">
        <f t="shared" si="66"/>
        <v/>
      </c>
      <c r="X337" s="31"/>
      <c r="Y337" s="30" t="str">
        <f t="shared" si="67"/>
        <v/>
      </c>
    </row>
    <row r="338" spans="2:25" x14ac:dyDescent="0.2">
      <c r="B338" s="34"/>
      <c r="C338" s="30" t="str">
        <f>IF(B338=0,"",IF('Imperial Data'!AG327&gt;=1, INDEX(Imperial_Incremental[], MATCH('Imperial Data'!AG327, Imperial_Incremental[Height], 1), MATCH('Cumulative Volumes Imperial'!$F$4, Imperial_Incremental[#Headers], 0)), 0))</f>
        <v/>
      </c>
      <c r="D338" s="30" t="str">
        <f>IF(B338=0,"",IF('Imperial Data'!AG327&gt;=1, INDEX(Imperial_Incremental[], MATCH('Imperial Data'!AG327, Imperial_Incremental[Height], 1), MATCH('Cumulative Volumes Imperial'!$F$4 &amp; "EC", Imperial_Incremental[#Headers], 0)), 0))</f>
        <v/>
      </c>
      <c r="E338" s="30"/>
      <c r="F338" s="30"/>
      <c r="G338" s="30" t="str">
        <f>IF(B338=0,"",IF('Cumulative Volumes Imperial'!$AQ$17=FALSE,I338,H338))</f>
        <v/>
      </c>
      <c r="H338" s="30"/>
      <c r="I338" s="30"/>
      <c r="J338" s="30" t="str">
        <f>IF(B338="","",IF('Cumulative Volumes Imperial'!$AQ$17=FALSE,L338,K338))</f>
        <v/>
      </c>
      <c r="K338" s="30"/>
      <c r="L338" s="30"/>
      <c r="M338" s="30" t="str">
        <f>IF($E$8+45+$E$9&gt;989,"FALSE",IF(B338="","",IF('Cumulative Volumes Imperial'!$AQ$17=FALSE,O338,N338)))</f>
        <v/>
      </c>
      <c r="N338" s="30"/>
      <c r="O338" s="30" t="str">
        <f>IF(B338=0,"",IF('Cumulative Volumes Imperial'!$AQ$17=FALSE,(V338*$E$4)+(W338*$E$5),N338))</f>
        <v/>
      </c>
      <c r="P338" s="30" t="str">
        <f>IF(B338=0,"",(((1/12)*'Imperial Data'!$AC$4*'Imperial Data'!$AC$5)-C338)*$H$6)</f>
        <v/>
      </c>
      <c r="Q338" s="30"/>
      <c r="R338" s="30" t="str">
        <f>IF(B338=0,"",(((1/12)*'Imperial Data'!$AC$5*'Imperial Data'!$AC$7)-D338)*$H$6)</f>
        <v/>
      </c>
      <c r="S338" s="30"/>
      <c r="T338" s="30"/>
      <c r="U338" s="30"/>
      <c r="V338" s="30"/>
      <c r="W338" s="30" t="str">
        <f t="shared" si="66"/>
        <v/>
      </c>
      <c r="X338" s="31"/>
      <c r="Y338" s="30" t="str">
        <f t="shared" si="67"/>
        <v/>
      </c>
    </row>
    <row r="339" spans="2:25" x14ac:dyDescent="0.2">
      <c r="B339" s="34"/>
      <c r="C339" s="30" t="str">
        <f>IF(B339=0,"",IF('Imperial Data'!AG328&gt;=1, INDEX(Imperial_Incremental[], MATCH('Imperial Data'!AG328, Imperial_Incremental[Height], 1), MATCH('Cumulative Volumes Imperial'!$F$4, Imperial_Incremental[#Headers], 0)), 0))</f>
        <v/>
      </c>
      <c r="D339" s="30" t="str">
        <f>IF(B339=0,"",IF('Imperial Data'!AG328&gt;=1, INDEX(Imperial_Incremental[], MATCH('Imperial Data'!AG328, Imperial_Incremental[Height], 1), MATCH('Cumulative Volumes Imperial'!$F$4 &amp; "EC", Imperial_Incremental[#Headers], 0)), 0))</f>
        <v/>
      </c>
      <c r="E339" s="30"/>
      <c r="F339" s="30"/>
      <c r="G339" s="30" t="str">
        <f>IF(B339=0,"",IF('Cumulative Volumes Imperial'!$AQ$17=FALSE,I339,H339))</f>
        <v/>
      </c>
      <c r="H339" s="30"/>
      <c r="I339" s="30"/>
      <c r="J339" s="30" t="str">
        <f>IF(B339="","",IF('Cumulative Volumes Imperial'!$AQ$17=FALSE,L339,K339))</f>
        <v/>
      </c>
      <c r="K339" s="30"/>
      <c r="L339" s="30"/>
      <c r="M339" s="30" t="str">
        <f>IF($E$8+45+$E$9&gt;989,"FALSE",IF(B339="","",IF('Cumulative Volumes Imperial'!$AQ$17=FALSE,O339,N339)))</f>
        <v/>
      </c>
      <c r="N339" s="30"/>
      <c r="O339" s="30" t="str">
        <f>IF(B339=0,"",IF('Cumulative Volumes Imperial'!$AQ$17=FALSE,(V339*$E$4)+(W339*$E$5),N339))</f>
        <v/>
      </c>
      <c r="P339" s="30" t="str">
        <f>IF(B339=0,"",(((1/12)*'Imperial Data'!$AC$4*'Imperial Data'!$AC$5)-C339)*$H$6)</f>
        <v/>
      </c>
      <c r="Q339" s="30"/>
      <c r="R339" s="30" t="str">
        <f>IF(B339=0,"",(((1/12)*'Imperial Data'!$AC$5*'Imperial Data'!$AC$7)-D339)*$H$6)</f>
        <v/>
      </c>
      <c r="S339" s="30"/>
      <c r="T339" s="30"/>
      <c r="U339" s="30"/>
      <c r="V339" s="30"/>
      <c r="W339" s="30" t="str">
        <f t="shared" si="66"/>
        <v/>
      </c>
      <c r="X339" s="31"/>
      <c r="Y339" s="30" t="str">
        <f t="shared" si="67"/>
        <v/>
      </c>
    </row>
    <row r="340" spans="2:25" x14ac:dyDescent="0.2">
      <c r="B340" s="34"/>
      <c r="C340" s="30" t="str">
        <f>IF(B340=0,"",IF('Imperial Data'!AG329&gt;=1, INDEX(Imperial_Incremental[], MATCH('Imperial Data'!AG329, Imperial_Incremental[Height], 1), MATCH('Cumulative Volumes Imperial'!$F$4, Imperial_Incremental[#Headers], 0)), 0))</f>
        <v/>
      </c>
      <c r="D340" s="30" t="str">
        <f>IF(B340=0,"",IF('Imperial Data'!AG329&gt;=1, INDEX(Imperial_Incremental[], MATCH('Imperial Data'!AG329, Imperial_Incremental[Height], 1), MATCH('Cumulative Volumes Imperial'!$F$4 &amp; "EC", Imperial_Incremental[#Headers], 0)), 0))</f>
        <v/>
      </c>
      <c r="E340" s="30"/>
      <c r="F340" s="30"/>
      <c r="G340" s="30" t="str">
        <f>IF(B340=0,"",IF('Cumulative Volumes Imperial'!$AQ$17=FALSE,I340,H340))</f>
        <v/>
      </c>
      <c r="H340" s="30"/>
      <c r="I340" s="30"/>
      <c r="J340" s="30" t="str">
        <f>IF(B340="","",IF('Cumulative Volumes Imperial'!$AQ$17=FALSE,L340,K340))</f>
        <v/>
      </c>
      <c r="K340" s="30"/>
      <c r="L340" s="30"/>
      <c r="M340" s="30" t="str">
        <f>IF($E$8+45+$E$9&gt;989,"FALSE",IF(B340="","",IF('Cumulative Volumes Imperial'!$AQ$17=FALSE,O340,N340)))</f>
        <v/>
      </c>
      <c r="N340" s="30"/>
      <c r="O340" s="30" t="str">
        <f>IF(B340=0,"",IF('Cumulative Volumes Imperial'!$AQ$17=FALSE,(V340*$E$4)+(W340*$E$5),N340))</f>
        <v/>
      </c>
      <c r="P340" s="30" t="str">
        <f>IF(B340=0,"",(((1/12)*'Imperial Data'!$AC$4*'Imperial Data'!$AC$5)-C340)*$H$6)</f>
        <v/>
      </c>
      <c r="Q340" s="30"/>
      <c r="R340" s="30" t="str">
        <f>IF(B340=0,"",(((1/12)*'Imperial Data'!$AC$5*'Imperial Data'!$AC$7)-D340)*$H$6)</f>
        <v/>
      </c>
      <c r="S340" s="30"/>
      <c r="T340" s="30"/>
      <c r="U340" s="30"/>
      <c r="V340" s="30"/>
      <c r="W340" s="30" t="str">
        <f t="shared" si="66"/>
        <v/>
      </c>
      <c r="X340" s="31"/>
      <c r="Y340" s="30" t="str">
        <f t="shared" si="67"/>
        <v/>
      </c>
    </row>
    <row r="341" spans="2:25" x14ac:dyDescent="0.2">
      <c r="B341" s="34"/>
      <c r="C341" s="30" t="str">
        <f>IF(B341=0,"",IF('Imperial Data'!AG330&gt;=1, INDEX(Imperial_Incremental[], MATCH('Imperial Data'!AG330, Imperial_Incremental[Height], 1), MATCH('Cumulative Volumes Imperial'!$F$4, Imperial_Incremental[#Headers], 0)), 0))</f>
        <v/>
      </c>
      <c r="D341" s="30" t="str">
        <f>IF(B341=0,"",IF('Imperial Data'!AG330&gt;=1, INDEX(Imperial_Incremental[], MATCH('Imperial Data'!AG330, Imperial_Incremental[Height], 1), MATCH('Cumulative Volumes Imperial'!$F$4 &amp; "EC", Imperial_Incremental[#Headers], 0)), 0))</f>
        <v/>
      </c>
      <c r="E341" s="30"/>
      <c r="F341" s="30"/>
      <c r="G341" s="30" t="str">
        <f>IF(B341=0,"",IF('Cumulative Volumes Imperial'!$AQ$17=FALSE,I341,H341))</f>
        <v/>
      </c>
      <c r="H341" s="30"/>
      <c r="I341" s="30"/>
      <c r="J341" s="30" t="str">
        <f>IF(B341="","",IF('Cumulative Volumes Imperial'!$AQ$17=FALSE,L341,K341))</f>
        <v/>
      </c>
      <c r="K341" s="30"/>
      <c r="L341" s="30"/>
      <c r="M341" s="30" t="str">
        <f>IF($E$8+45+$E$9&gt;989,"FALSE",IF(B341="","",IF('Cumulative Volumes Imperial'!$AQ$17=FALSE,O341,N341)))</f>
        <v/>
      </c>
      <c r="N341" s="30"/>
      <c r="O341" s="30" t="str">
        <f>IF(B341=0,"",IF('Cumulative Volumes Imperial'!$AQ$17=FALSE,(V341*$E$4)+(W341*$E$5),N341))</f>
        <v/>
      </c>
      <c r="P341" s="30" t="str">
        <f>IF(B341=0,"",(((1/12)*'Imperial Data'!$AC$4*'Imperial Data'!$AC$5)-C341)*$H$6)</f>
        <v/>
      </c>
      <c r="Q341" s="30"/>
      <c r="R341" s="30" t="str">
        <f>IF(B341=0,"",(((1/12)*'Imperial Data'!$AC$5*'Imperial Data'!$AC$7)-D341)*$H$6)</f>
        <v/>
      </c>
      <c r="S341" s="30"/>
      <c r="T341" s="30"/>
      <c r="U341" s="30"/>
      <c r="V341" s="30"/>
      <c r="W341" s="30" t="str">
        <f t="shared" si="66"/>
        <v/>
      </c>
      <c r="X341" s="31"/>
      <c r="Y341" s="30" t="str">
        <f t="shared" si="67"/>
        <v/>
      </c>
    </row>
    <row r="342" spans="2:25" x14ac:dyDescent="0.2">
      <c r="B342" s="34"/>
      <c r="C342" s="30" t="str">
        <f>IF(B342=0,"",IF('Imperial Data'!AG331&gt;=1, INDEX(Imperial_Incremental[], MATCH('Imperial Data'!AG331, Imperial_Incremental[Height], 1), MATCH('Cumulative Volumes Imperial'!$F$4, Imperial_Incremental[#Headers], 0)), 0))</f>
        <v/>
      </c>
      <c r="D342" s="30" t="str">
        <f>IF(B342=0,"",IF('Imperial Data'!AG331&gt;=1, INDEX(Imperial_Incremental[], MATCH('Imperial Data'!AG331, Imperial_Incremental[Height], 1), MATCH('Cumulative Volumes Imperial'!$F$4 &amp; "EC", Imperial_Incremental[#Headers], 0)), 0))</f>
        <v/>
      </c>
      <c r="E342" s="30"/>
      <c r="F342" s="30"/>
      <c r="G342" s="30" t="str">
        <f>IF(B342=0,"",IF('Cumulative Volumes Imperial'!$AQ$17=FALSE,I342,H342))</f>
        <v/>
      </c>
      <c r="H342" s="30"/>
      <c r="I342" s="30"/>
      <c r="J342" s="30" t="str">
        <f>IF(B342="","",IF('Cumulative Volumes Imperial'!$AQ$17=FALSE,L342,K342))</f>
        <v/>
      </c>
      <c r="K342" s="30"/>
      <c r="L342" s="30"/>
      <c r="M342" s="30" t="str">
        <f>IF($E$8+45+$E$9&gt;989,"FALSE",IF(B342="","",IF('Cumulative Volumes Imperial'!$AQ$17=FALSE,O342,N342)))</f>
        <v/>
      </c>
      <c r="N342" s="30"/>
      <c r="O342" s="30" t="str">
        <f>IF(B342=0,"",IF('Cumulative Volumes Imperial'!$AQ$17=FALSE,(V342*$E$4)+(W342*$E$5),N342))</f>
        <v/>
      </c>
      <c r="P342" s="30" t="str">
        <f>IF(B342=0,"",(((1/12)*'Imperial Data'!$AC$4*'Imperial Data'!$AC$5)-C342)*$H$6)</f>
        <v/>
      </c>
      <c r="Q342" s="30"/>
      <c r="R342" s="30" t="str">
        <f>IF(B342=0,"",(((1/12)*'Imperial Data'!$AC$5*'Imperial Data'!$AC$7)-D342)*$H$6)</f>
        <v/>
      </c>
      <c r="S342" s="30"/>
      <c r="T342" s="30"/>
      <c r="U342" s="30"/>
      <c r="V342" s="30"/>
      <c r="W342" s="30" t="str">
        <f t="shared" si="66"/>
        <v/>
      </c>
      <c r="X342" s="31"/>
      <c r="Y342" s="30" t="str">
        <f t="shared" si="67"/>
        <v/>
      </c>
    </row>
    <row r="343" spans="2:25" x14ac:dyDescent="0.2">
      <c r="B343" s="34"/>
      <c r="C343" s="30" t="str">
        <f>IF(B343=0,"",IF('Imperial Data'!AG332&gt;=1, INDEX(Imperial_Incremental[], MATCH('Imperial Data'!AG332, Imperial_Incremental[Height], 1), MATCH('Cumulative Volumes Imperial'!$F$4, Imperial_Incremental[#Headers], 0)), 0))</f>
        <v/>
      </c>
      <c r="D343" s="30" t="str">
        <f>IF(B343=0,"",IF('Imperial Data'!AG332&gt;=1, INDEX(Imperial_Incremental[], MATCH('Imperial Data'!AG332, Imperial_Incremental[Height], 1), MATCH('Cumulative Volumes Imperial'!$F$4 &amp; "EC", Imperial_Incremental[#Headers], 0)), 0))</f>
        <v/>
      </c>
      <c r="E343" s="30"/>
      <c r="F343" s="30"/>
      <c r="G343" s="30" t="str">
        <f>IF(B343=0,"",IF('Cumulative Volumes Imperial'!$AQ$17=FALSE,I343,H343))</f>
        <v/>
      </c>
      <c r="H343" s="30"/>
      <c r="I343" s="30"/>
      <c r="J343" s="30" t="str">
        <f>IF(B343="","",IF('Cumulative Volumes Imperial'!$AQ$17=FALSE,L343,K343))</f>
        <v/>
      </c>
      <c r="K343" s="30"/>
      <c r="L343" s="30"/>
      <c r="M343" s="30" t="str">
        <f>IF($E$8+45+$E$9&gt;989,"FALSE",IF(B343="","",IF('Cumulative Volumes Imperial'!$AQ$17=FALSE,O343,N343)))</f>
        <v/>
      </c>
      <c r="N343" s="30"/>
      <c r="O343" s="30" t="str">
        <f>IF(B343=0,"",IF('Cumulative Volumes Imperial'!$AQ$17=FALSE,(V343*$E$4)+(W343*$E$5),N343))</f>
        <v/>
      </c>
      <c r="P343" s="30" t="str">
        <f>IF(B343=0,"",(((1/12)*'Imperial Data'!$AC$4*'Imperial Data'!$AC$5)-C343)*$H$6)</f>
        <v/>
      </c>
      <c r="Q343" s="30"/>
      <c r="R343" s="30" t="str">
        <f>IF(B343=0,"",(((1/12)*'Imperial Data'!$AC$5*'Imperial Data'!$AC$7)-D343)*$H$6)</f>
        <v/>
      </c>
      <c r="S343" s="30"/>
      <c r="T343" s="30"/>
      <c r="U343" s="30"/>
      <c r="V343" s="30"/>
      <c r="W343" s="30" t="str">
        <f t="shared" si="66"/>
        <v/>
      </c>
      <c r="X343" s="31"/>
      <c r="Y343" s="30" t="str">
        <f t="shared" si="67"/>
        <v/>
      </c>
    </row>
    <row r="344" spans="2:25" x14ac:dyDescent="0.2">
      <c r="B344" s="34"/>
      <c r="C344" s="30" t="str">
        <f>IF(B344=0,"",IF('Imperial Data'!AG333&gt;=1, INDEX(Imperial_Incremental[], MATCH('Imperial Data'!AG333, Imperial_Incremental[Height], 1), MATCH('Cumulative Volumes Imperial'!$F$4, Imperial_Incremental[#Headers], 0)), 0))</f>
        <v/>
      </c>
      <c r="D344" s="30" t="str">
        <f>IF(B344=0,"",IF('Imperial Data'!AG333&gt;=1, INDEX(Imperial_Incremental[], MATCH('Imperial Data'!AG333, Imperial_Incremental[Height], 1), MATCH('Cumulative Volumes Imperial'!$F$4 &amp; "EC", Imperial_Incremental[#Headers], 0)), 0))</f>
        <v/>
      </c>
      <c r="E344" s="30"/>
      <c r="F344" s="30"/>
      <c r="G344" s="30" t="str">
        <f>IF(B344=0,"",IF('Cumulative Volumes Imperial'!$AQ$17=FALSE,I344,H344))</f>
        <v/>
      </c>
      <c r="H344" s="30"/>
      <c r="I344" s="30"/>
      <c r="J344" s="30" t="str">
        <f>IF(B344="","",IF('Cumulative Volumes Imperial'!$AQ$17=FALSE,L344,K344))</f>
        <v/>
      </c>
      <c r="K344" s="30"/>
      <c r="L344" s="30"/>
      <c r="M344" s="30" t="str">
        <f>IF($E$8+45+$E$9&gt;989,"FALSE",IF(B344="","",IF('Cumulative Volumes Imperial'!$AQ$17=FALSE,O344,N344)))</f>
        <v/>
      </c>
      <c r="N344" s="30"/>
      <c r="O344" s="30" t="str">
        <f>IF(B344=0,"",IF('Cumulative Volumes Imperial'!$AQ$17=FALSE,(V344*$E$4)+(W344*$E$5),N344))</f>
        <v/>
      </c>
      <c r="P344" s="30" t="str">
        <f>IF(B344=0,"",(((1/12)*'Imperial Data'!$AC$4*'Imperial Data'!$AC$5)-C344)*$H$6)</f>
        <v/>
      </c>
      <c r="Q344" s="30"/>
      <c r="R344" s="30" t="str">
        <f>IF(B344=0,"",(((1/12)*'Imperial Data'!$AC$5*'Imperial Data'!$AC$7)-D344)*$H$6)</f>
        <v/>
      </c>
      <c r="S344" s="30"/>
      <c r="T344" s="30"/>
      <c r="U344" s="30"/>
      <c r="V344" s="30"/>
      <c r="W344" s="30" t="str">
        <f t="shared" si="66"/>
        <v/>
      </c>
      <c r="X344" s="31"/>
      <c r="Y344" s="30" t="str">
        <f t="shared" si="67"/>
        <v/>
      </c>
    </row>
    <row r="345" spans="2:25" x14ac:dyDescent="0.2">
      <c r="B345" s="34"/>
      <c r="C345" s="30" t="str">
        <f>IF(B345=0,"",IF('Imperial Data'!AG334&gt;=1, INDEX(Imperial_Incremental[], MATCH('Imperial Data'!AG334, Imperial_Incremental[Height], 1), MATCH('Cumulative Volumes Imperial'!$F$4, Imperial_Incremental[#Headers], 0)), 0))</f>
        <v/>
      </c>
      <c r="D345" s="30" t="str">
        <f>IF(B345=0,"",IF('Imperial Data'!AG334&gt;=1, INDEX(Imperial_Incremental[], MATCH('Imperial Data'!AG334, Imperial_Incremental[Height], 1), MATCH('Cumulative Volumes Imperial'!$F$4 &amp; "EC", Imperial_Incremental[#Headers], 0)), 0))</f>
        <v/>
      </c>
      <c r="E345" s="30"/>
      <c r="F345" s="30"/>
      <c r="G345" s="30" t="str">
        <f>IF(B345=0,"",IF('Cumulative Volumes Imperial'!$AQ$17=FALSE,I345,H345))</f>
        <v/>
      </c>
      <c r="H345" s="30"/>
      <c r="I345" s="30"/>
      <c r="J345" s="30" t="str">
        <f>IF(B345="","",IF('Cumulative Volumes Imperial'!$AQ$17=FALSE,L345,K345))</f>
        <v/>
      </c>
      <c r="K345" s="30"/>
      <c r="L345" s="30"/>
      <c r="M345" s="30" t="str">
        <f>IF($E$8+45+$E$9&gt;989,"FALSE",IF(B345="","",IF('Cumulative Volumes Imperial'!$AQ$17=FALSE,O345,N345)))</f>
        <v/>
      </c>
      <c r="N345" s="30"/>
      <c r="O345" s="30" t="str">
        <f>IF(B345=0,"",IF('Cumulative Volumes Imperial'!$AQ$17=FALSE,(V345*$E$4)+(W345*$E$5),N345))</f>
        <v/>
      </c>
      <c r="P345" s="30" t="str">
        <f>IF(B345=0,"",(((1/12)*'Imperial Data'!$AC$4*'Imperial Data'!$AC$5)-C345)*$H$6)</f>
        <v/>
      </c>
      <c r="Q345" s="30"/>
      <c r="R345" s="30" t="str">
        <f>IF(B345=0,"",(((1/12)*'Imperial Data'!$AC$5*'Imperial Data'!$AC$7)-D345)*$H$6)</f>
        <v/>
      </c>
      <c r="S345" s="30"/>
      <c r="T345" s="30"/>
      <c r="U345" s="30"/>
      <c r="V345" s="30"/>
      <c r="W345" s="30" t="str">
        <f t="shared" si="66"/>
        <v/>
      </c>
      <c r="X345" s="31"/>
      <c r="Y345" s="30" t="str">
        <f t="shared" si="67"/>
        <v/>
      </c>
    </row>
    <row r="346" spans="2:25" x14ac:dyDescent="0.2">
      <c r="B346" s="34"/>
      <c r="C346" s="30" t="str">
        <f>IF(B346=0,"",IF('Imperial Data'!AG335&gt;=1, INDEX(Imperial_Incremental[], MATCH('Imperial Data'!AG335, Imperial_Incremental[Height], 1), MATCH('Cumulative Volumes Imperial'!$F$4, Imperial_Incremental[#Headers], 0)), 0))</f>
        <v/>
      </c>
      <c r="D346" s="30" t="str">
        <f>IF(B346=0,"",IF('Imperial Data'!AG335&gt;=1, INDEX(Imperial_Incremental[], MATCH('Imperial Data'!AG335, Imperial_Incremental[Height], 1), MATCH('Cumulative Volumes Imperial'!$F$4 &amp; "EC", Imperial_Incremental[#Headers], 0)), 0))</f>
        <v/>
      </c>
      <c r="E346" s="30"/>
      <c r="F346" s="30"/>
      <c r="G346" s="30" t="str">
        <f>IF(B346=0,"",IF('Cumulative Volumes Imperial'!$AQ$17=FALSE,I346,H346))</f>
        <v/>
      </c>
      <c r="H346" s="30"/>
      <c r="I346" s="30"/>
      <c r="J346" s="30" t="str">
        <f>IF(B346="","",IF('Cumulative Volumes Imperial'!$AQ$17=FALSE,L346,K346))</f>
        <v/>
      </c>
      <c r="K346" s="30"/>
      <c r="L346" s="30"/>
      <c r="M346" s="30" t="str">
        <f>IF($E$8+45+$E$9&gt;989,"FALSE",IF(B346="","",IF('Cumulative Volumes Imperial'!$AQ$17=FALSE,O346,N346)))</f>
        <v/>
      </c>
      <c r="N346" s="30"/>
      <c r="O346" s="30" t="str">
        <f>IF(B346=0,"",IF('Cumulative Volumes Imperial'!$AQ$17=FALSE,(V346*$E$4)+(W346*$E$5),N346))</f>
        <v/>
      </c>
      <c r="P346" s="30" t="str">
        <f>IF(B346=0,"",(((1/12)*'Imperial Data'!$AC$4*'Imperial Data'!$AC$5)-C346)*$H$6)</f>
        <v/>
      </c>
      <c r="Q346" s="30"/>
      <c r="R346" s="30" t="str">
        <f>IF(B346=0,"",(((1/12)*'Imperial Data'!$AC$5*'Imperial Data'!$AC$7)-D346)*$H$6)</f>
        <v/>
      </c>
      <c r="S346" s="30"/>
      <c r="T346" s="30"/>
      <c r="U346" s="30"/>
      <c r="V346" s="30"/>
      <c r="W346" s="30" t="str">
        <f t="shared" si="66"/>
        <v/>
      </c>
      <c r="X346" s="31"/>
      <c r="Y346" s="30" t="str">
        <f t="shared" si="67"/>
        <v/>
      </c>
    </row>
    <row r="347" spans="2:25" x14ac:dyDescent="0.2">
      <c r="B347" s="34"/>
      <c r="C347" s="30" t="str">
        <f>IF(B347=0,"",IF('Imperial Data'!AG336&gt;=1, INDEX(Imperial_Incremental[], MATCH('Imperial Data'!AG336, Imperial_Incremental[Height], 1), MATCH('Cumulative Volumes Imperial'!$F$4, Imperial_Incremental[#Headers], 0)), 0))</f>
        <v/>
      </c>
      <c r="D347" s="30" t="str">
        <f>IF(B347=0,"",IF('Imperial Data'!AG336&gt;=1, INDEX(Imperial_Incremental[], MATCH('Imperial Data'!AG336, Imperial_Incremental[Height], 1), MATCH('Cumulative Volumes Imperial'!$F$4 &amp; "EC", Imperial_Incremental[#Headers], 0)), 0))</f>
        <v/>
      </c>
      <c r="E347" s="30"/>
      <c r="F347" s="30"/>
      <c r="G347" s="30" t="str">
        <f>IF(B347=0,"",IF('Cumulative Volumes Imperial'!$AQ$17=FALSE,I347,H347))</f>
        <v/>
      </c>
      <c r="H347" s="30"/>
      <c r="I347" s="30"/>
      <c r="J347" s="30" t="str">
        <f>IF(B347="","",IF('Cumulative Volumes Imperial'!$AQ$17=FALSE,L347,K347))</f>
        <v/>
      </c>
      <c r="K347" s="30"/>
      <c r="L347" s="30"/>
      <c r="M347" s="30" t="str">
        <f>IF($E$8+45+$E$9&gt;989,"FALSE",IF(B347="","",IF('Cumulative Volumes Imperial'!$AQ$17=FALSE,O347,N347)))</f>
        <v/>
      </c>
      <c r="N347" s="30"/>
      <c r="O347" s="30" t="str">
        <f>IF(B347=0,"",IF('Cumulative Volumes Imperial'!$AQ$17=FALSE,(V347*$E$4)+(W347*$E$5),N347))</f>
        <v/>
      </c>
      <c r="P347" s="30" t="str">
        <f>IF(B347=0,"",(((1/12)*'Imperial Data'!$AC$4*'Imperial Data'!$AC$5)-C347)*$H$6)</f>
        <v/>
      </c>
      <c r="Q347" s="30"/>
      <c r="R347" s="30" t="str">
        <f>IF(B347=0,"",(((1/12)*'Imperial Data'!$AC$5*'Imperial Data'!$AC$7)-D347)*$H$6)</f>
        <v/>
      </c>
      <c r="S347" s="30"/>
      <c r="T347" s="30"/>
      <c r="U347" s="30"/>
      <c r="V347" s="30"/>
      <c r="W347" s="30" t="str">
        <f t="shared" si="66"/>
        <v/>
      </c>
      <c r="X347" s="31"/>
      <c r="Y347" s="30" t="str">
        <f t="shared" si="67"/>
        <v/>
      </c>
    </row>
    <row r="348" spans="2:25" x14ac:dyDescent="0.2">
      <c r="B348" s="34"/>
      <c r="C348" s="30" t="str">
        <f>IF(B348=0,"",IF('Imperial Data'!AG337&gt;=1, INDEX(Imperial_Incremental[], MATCH('Imperial Data'!AG337, Imperial_Incremental[Height], 1), MATCH('Cumulative Volumes Imperial'!$F$4, Imperial_Incremental[#Headers], 0)), 0))</f>
        <v/>
      </c>
      <c r="D348" s="30" t="str">
        <f>IF(B348=0,"",IF('Imperial Data'!AG337&gt;=1, INDEX(Imperial_Incremental[], MATCH('Imperial Data'!AG337, Imperial_Incremental[Height], 1), MATCH('Cumulative Volumes Imperial'!$F$4 &amp; "EC", Imperial_Incremental[#Headers], 0)), 0))</f>
        <v/>
      </c>
      <c r="E348" s="30"/>
      <c r="F348" s="30"/>
      <c r="G348" s="30" t="str">
        <f>IF(B348=0,"",IF('Cumulative Volumes Imperial'!$AQ$17=FALSE,I348,H348))</f>
        <v/>
      </c>
      <c r="H348" s="30"/>
      <c r="I348" s="30"/>
      <c r="J348" s="30" t="str">
        <f>IF(B348="","",IF('Cumulative Volumes Imperial'!$AQ$17=FALSE,L348,K348))</f>
        <v/>
      </c>
      <c r="K348" s="30"/>
      <c r="L348" s="30"/>
      <c r="M348" s="30" t="str">
        <f>IF($E$8+45+$E$9&gt;989,"FALSE",IF(B348="","",IF('Cumulative Volumes Imperial'!$AQ$17=FALSE,O348,N348)))</f>
        <v/>
      </c>
      <c r="N348" s="30"/>
      <c r="O348" s="30" t="str">
        <f>IF(B348=0,"",IF('Cumulative Volumes Imperial'!$AQ$17=FALSE,(V348*$E$4)+(W348*$E$5),N348))</f>
        <v/>
      </c>
      <c r="P348" s="30" t="str">
        <f>IF(B348=0,"",(((1/12)*'Imperial Data'!$AC$4*'Imperial Data'!$AC$5)-C348)*$H$6)</f>
        <v/>
      </c>
      <c r="Q348" s="30"/>
      <c r="R348" s="30" t="str">
        <f>IF(B348=0,"",(((1/12)*'Imperial Data'!$AC$5*'Imperial Data'!$AC$7)-D348)*$H$6)</f>
        <v/>
      </c>
      <c r="S348" s="30"/>
      <c r="T348" s="30"/>
      <c r="U348" s="30"/>
      <c r="V348" s="30"/>
      <c r="W348" s="30" t="str">
        <f t="shared" si="66"/>
        <v/>
      </c>
      <c r="X348" s="31"/>
      <c r="Y348" s="30" t="str">
        <f t="shared" si="67"/>
        <v/>
      </c>
    </row>
    <row r="349" spans="2:25" x14ac:dyDescent="0.2">
      <c r="B349" s="34"/>
      <c r="C349" s="30" t="str">
        <f>IF(B349=0,"",IF('Imperial Data'!AG338&gt;=1, INDEX(Imperial_Incremental[], MATCH('Imperial Data'!AG338, Imperial_Incremental[Height], 1), MATCH('Cumulative Volumes Imperial'!$F$4, Imperial_Incremental[#Headers], 0)), 0))</f>
        <v/>
      </c>
      <c r="D349" s="30" t="str">
        <f>IF(B349=0,"",IF('Imperial Data'!AG338&gt;=1, INDEX(Imperial_Incremental[], MATCH('Imperial Data'!AG338, Imperial_Incremental[Height], 1), MATCH('Cumulative Volumes Imperial'!$F$4 &amp; "EC", Imperial_Incremental[#Headers], 0)), 0))</f>
        <v/>
      </c>
      <c r="E349" s="30"/>
      <c r="F349" s="30"/>
      <c r="G349" s="30" t="str">
        <f>IF(B349=0,"",IF('Cumulative Volumes Imperial'!$AQ$17=FALSE,I349,H349))</f>
        <v/>
      </c>
      <c r="H349" s="30"/>
      <c r="I349" s="30"/>
      <c r="J349" s="30" t="str">
        <f>IF(B349="","",IF('Cumulative Volumes Imperial'!$AQ$17=FALSE,L349,K349))</f>
        <v/>
      </c>
      <c r="K349" s="30"/>
      <c r="L349" s="30"/>
      <c r="M349" s="30" t="str">
        <f>IF($E$8+45+$E$9&gt;989,"FALSE",IF(B349="","",IF('Cumulative Volumes Imperial'!$AQ$17=FALSE,O349,N349)))</f>
        <v/>
      </c>
      <c r="N349" s="30"/>
      <c r="O349" s="30" t="str">
        <f>IF(B349=0,"",IF('Cumulative Volumes Imperial'!$AQ$17=FALSE,(V349*$E$4)+(W349*$E$5),N349))</f>
        <v/>
      </c>
      <c r="P349" s="30" t="str">
        <f>IF(B349=0,"",(((1/12)*'Imperial Data'!$AC$4*'Imperial Data'!$AC$5)-C349)*$H$6)</f>
        <v/>
      </c>
      <c r="Q349" s="30"/>
      <c r="R349" s="30" t="str">
        <f>IF(B349=0,"",(((1/12)*'Imperial Data'!$AC$5*'Imperial Data'!$AC$7)-D349)*$H$6)</f>
        <v/>
      </c>
      <c r="S349" s="30"/>
      <c r="T349" s="30"/>
      <c r="U349" s="30"/>
      <c r="V349" s="30"/>
      <c r="W349" s="30" t="str">
        <f t="shared" si="66"/>
        <v/>
      </c>
      <c r="X349" s="31"/>
      <c r="Y349" s="30" t="str">
        <f t="shared" si="67"/>
        <v/>
      </c>
    </row>
    <row r="350" spans="2:25" x14ac:dyDescent="0.2">
      <c r="B350" s="34"/>
      <c r="C350" s="30" t="str">
        <f>IF(B350=0,"",IF('Imperial Data'!AG339&gt;=1, INDEX(Imperial_Incremental[], MATCH('Imperial Data'!AG339, Imperial_Incremental[Height], 1), MATCH('Cumulative Volumes Imperial'!$F$4, Imperial_Incremental[#Headers], 0)), 0))</f>
        <v/>
      </c>
      <c r="D350" s="30" t="str">
        <f>IF(B350=0,"",IF('Imperial Data'!AG339&gt;=1, INDEX(Imperial_Incremental[], MATCH('Imperial Data'!AG339, Imperial_Incremental[Height], 1), MATCH('Cumulative Volumes Imperial'!$F$4 &amp; "EC", Imperial_Incremental[#Headers], 0)), 0))</f>
        <v/>
      </c>
      <c r="E350" s="30"/>
      <c r="F350" s="30"/>
      <c r="G350" s="30" t="str">
        <f>IF(B350=0,"",IF('Cumulative Volumes Imperial'!$AQ$17=FALSE,I350,H350))</f>
        <v/>
      </c>
      <c r="H350" s="30"/>
      <c r="I350" s="30"/>
      <c r="J350" s="30" t="str">
        <f>IF(B350="","",IF('Cumulative Volumes Imperial'!$AQ$17=FALSE,L350,K350))</f>
        <v/>
      </c>
      <c r="K350" s="30"/>
      <c r="L350" s="30"/>
      <c r="M350" s="30" t="str">
        <f>IF($E$8+45+$E$9&gt;989,"FALSE",IF(B350="","",IF('Cumulative Volumes Imperial'!$AQ$17=FALSE,O350,N350)))</f>
        <v/>
      </c>
      <c r="N350" s="30"/>
      <c r="O350" s="30" t="str">
        <f>IF(B350=0,"",IF('Cumulative Volumes Imperial'!$AQ$17=FALSE,(V350*$E$4)+(W350*$E$5),N350))</f>
        <v/>
      </c>
      <c r="P350" s="30" t="str">
        <f>IF(B350=0,"",(((1/12)*'Imperial Data'!$AC$4*'Imperial Data'!$AC$5)-C350)*$H$6)</f>
        <v/>
      </c>
      <c r="Q350" s="30"/>
      <c r="R350" s="30" t="str">
        <f>IF(B350=0,"",(((1/12)*'Imperial Data'!$AC$5*'Imperial Data'!$AC$7)-D350)*$H$6)</f>
        <v/>
      </c>
      <c r="S350" s="30"/>
      <c r="T350" s="30"/>
      <c r="U350" s="30"/>
      <c r="V350" s="30"/>
      <c r="W350" s="30" t="str">
        <f t="shared" si="66"/>
        <v/>
      </c>
      <c r="X350" s="31"/>
      <c r="Y350" s="30" t="str">
        <f t="shared" si="67"/>
        <v/>
      </c>
    </row>
    <row r="351" spans="2:25" x14ac:dyDescent="0.2">
      <c r="B351" s="34"/>
      <c r="C351" s="30" t="str">
        <f>IF(B351=0,"",IF('Imperial Data'!AG340&gt;=1, INDEX(Imperial_Incremental[], MATCH('Imperial Data'!AG340, Imperial_Incremental[Height], 1), MATCH('Cumulative Volumes Imperial'!$F$4, Imperial_Incremental[#Headers], 0)), 0))</f>
        <v/>
      </c>
      <c r="D351" s="30" t="str">
        <f>IF(B351=0,"",IF('Imperial Data'!AG340&gt;=1, INDEX(Imperial_Incremental[], MATCH('Imperial Data'!AG340, Imperial_Incremental[Height], 1), MATCH('Cumulative Volumes Imperial'!$F$4 &amp; "EC", Imperial_Incremental[#Headers], 0)), 0))</f>
        <v/>
      </c>
      <c r="E351" s="30"/>
      <c r="F351" s="30"/>
      <c r="G351" s="30" t="str">
        <f>IF(B351=0,"",IF('Cumulative Volumes Imperial'!$AQ$17=FALSE,I351,H351))</f>
        <v/>
      </c>
      <c r="H351" s="30"/>
      <c r="I351" s="30"/>
      <c r="J351" s="30" t="str">
        <f>IF(B351="","",IF('Cumulative Volumes Imperial'!$AQ$17=FALSE,L351,K351))</f>
        <v/>
      </c>
      <c r="K351" s="30"/>
      <c r="L351" s="30"/>
      <c r="M351" s="30" t="str">
        <f>IF($E$8+45+$E$9&gt;989,"FALSE",IF(B351="","",IF('Cumulative Volumes Imperial'!$AQ$17=FALSE,O351,N351)))</f>
        <v/>
      </c>
      <c r="N351" s="30"/>
      <c r="O351" s="30" t="str">
        <f>IF(B351=0,"",IF('Cumulative Volumes Imperial'!$AQ$17=FALSE,(V351*$E$4)+(W351*$E$5),N351))</f>
        <v/>
      </c>
      <c r="P351" s="30" t="str">
        <f>IF(B351=0,"",(((1/12)*'Imperial Data'!$AC$4*'Imperial Data'!$AC$5)-C351)*$H$6)</f>
        <v/>
      </c>
      <c r="Q351" s="30"/>
      <c r="R351" s="30" t="str">
        <f>IF(B351=0,"",(((1/12)*'Imperial Data'!$AC$5*'Imperial Data'!$AC$7)-D351)*$H$6)</f>
        <v/>
      </c>
      <c r="S351" s="30"/>
      <c r="T351" s="30"/>
      <c r="U351" s="30"/>
      <c r="V351" s="30"/>
      <c r="W351" s="30" t="str">
        <f t="shared" si="66"/>
        <v/>
      </c>
      <c r="X351" s="31"/>
      <c r="Y351" s="30" t="str">
        <f t="shared" si="67"/>
        <v/>
      </c>
    </row>
    <row r="352" spans="2:25" x14ac:dyDescent="0.2">
      <c r="B352" s="34"/>
      <c r="C352" s="30" t="str">
        <f>IF(B352=0,"",IF('Imperial Data'!AG341&gt;=1, INDEX(Imperial_Incremental[], MATCH('Imperial Data'!AG341, Imperial_Incremental[Height], 1), MATCH('Cumulative Volumes Imperial'!$F$4, Imperial_Incremental[#Headers], 0)), 0))</f>
        <v/>
      </c>
      <c r="D352" s="30" t="str">
        <f>IF(B352=0,"",IF('Imperial Data'!AG341&gt;=1, INDEX(Imperial_Incremental[], MATCH('Imperial Data'!AG341, Imperial_Incremental[Height], 1), MATCH('Cumulative Volumes Imperial'!$F$4 &amp; "EC", Imperial_Incremental[#Headers], 0)), 0))</f>
        <v/>
      </c>
      <c r="E352" s="30"/>
      <c r="F352" s="30"/>
      <c r="G352" s="30" t="str">
        <f>IF(B352=0,"",IF('Cumulative Volumes Imperial'!$AQ$17=FALSE,I352,H352))</f>
        <v/>
      </c>
      <c r="H352" s="30"/>
      <c r="I352" s="30"/>
      <c r="J352" s="30" t="str">
        <f>IF(B352="","",IF('Cumulative Volumes Imperial'!$AQ$17=FALSE,L352,K352))</f>
        <v/>
      </c>
      <c r="K352" s="30"/>
      <c r="L352" s="30"/>
      <c r="M352" s="30" t="str">
        <f>IF($E$8+45+$E$9&gt;989,"FALSE",IF(B352="","",IF('Cumulative Volumes Imperial'!$AQ$17=FALSE,O352,N352)))</f>
        <v/>
      </c>
      <c r="N352" s="30"/>
      <c r="O352" s="30" t="str">
        <f>IF(B352=0,"",IF('Cumulative Volumes Imperial'!$AQ$17=FALSE,(V352*$E$4)+(W352*$E$5),N352))</f>
        <v/>
      </c>
      <c r="P352" s="30" t="str">
        <f>IF(B352=0,"",(((1/12)*'Imperial Data'!$AC$4*'Imperial Data'!$AC$5)-C352)*$H$6)</f>
        <v/>
      </c>
      <c r="Q352" s="30"/>
      <c r="R352" s="30" t="str">
        <f>IF(B352=0,"",(((1/12)*'Imperial Data'!$AC$5*'Imperial Data'!$AC$7)-D352)*$H$6)</f>
        <v/>
      </c>
      <c r="S352" s="30"/>
      <c r="T352" s="30"/>
      <c r="U352" s="30"/>
      <c r="V352" s="30"/>
      <c r="W352" s="30" t="str">
        <f t="shared" si="66"/>
        <v/>
      </c>
      <c r="X352" s="31"/>
      <c r="Y352" s="30" t="str">
        <f t="shared" si="67"/>
        <v/>
      </c>
    </row>
    <row r="353" spans="2:25" x14ac:dyDescent="0.2">
      <c r="B353" s="34"/>
      <c r="C353" s="30" t="str">
        <f>IF(B353=0,"",IF('Imperial Data'!AG342&gt;=1, INDEX(Imperial_Incremental[], MATCH('Imperial Data'!AG342, Imperial_Incremental[Height], 1), MATCH('Cumulative Volumes Imperial'!$F$4, Imperial_Incremental[#Headers], 0)), 0))</f>
        <v/>
      </c>
      <c r="D353" s="30" t="str">
        <f>IF(B353=0,"",IF('Imperial Data'!AG342&gt;=1, INDEX(Imperial_Incremental[], MATCH('Imperial Data'!AG342, Imperial_Incremental[Height], 1), MATCH('Cumulative Volumes Imperial'!$F$4 &amp; "EC", Imperial_Incremental[#Headers], 0)), 0))</f>
        <v/>
      </c>
      <c r="E353" s="30"/>
      <c r="F353" s="30"/>
      <c r="G353" s="30" t="str">
        <f>IF(B353=0,"",IF('Cumulative Volumes Imperial'!$AQ$17=FALSE,I353,H353))</f>
        <v/>
      </c>
      <c r="H353" s="30"/>
      <c r="I353" s="30"/>
      <c r="J353" s="30" t="str">
        <f>IF(B353="","",IF('Cumulative Volumes Imperial'!$AQ$17=FALSE,L353,K353))</f>
        <v/>
      </c>
      <c r="K353" s="30"/>
      <c r="L353" s="30"/>
      <c r="M353" s="30" t="str">
        <f>IF($E$8+45+$E$9&gt;989,"FALSE",IF(B353="","",IF('Cumulative Volumes Imperial'!$AQ$17=FALSE,O353,N353)))</f>
        <v/>
      </c>
      <c r="N353" s="30"/>
      <c r="O353" s="30" t="str">
        <f>IF(B353=0,"",IF('Cumulative Volumes Imperial'!$AQ$17=FALSE,(V353*$E$4)+(W353*$E$5),N353))</f>
        <v/>
      </c>
      <c r="P353" s="30" t="str">
        <f>IF(B353=0,"",(((1/12)*'Imperial Data'!$AC$4*'Imperial Data'!$AC$5)-C353)*$H$6)</f>
        <v/>
      </c>
      <c r="Q353" s="30"/>
      <c r="R353" s="30" t="str">
        <f>IF(B353=0,"",(((1/12)*'Imperial Data'!$AC$5*'Imperial Data'!$AC$7)-D353)*$H$6)</f>
        <v/>
      </c>
      <c r="S353" s="30"/>
      <c r="T353" s="30"/>
      <c r="U353" s="30"/>
      <c r="V353" s="30"/>
      <c r="W353" s="30" t="str">
        <f t="shared" si="66"/>
        <v/>
      </c>
      <c r="X353" s="31"/>
      <c r="Y353" s="30" t="str">
        <f t="shared" si="67"/>
        <v/>
      </c>
    </row>
    <row r="354" spans="2:25" x14ac:dyDescent="0.2">
      <c r="B354" s="34"/>
      <c r="C354" s="30" t="str">
        <f>IF(B354=0,"",IF('Imperial Data'!AG343&gt;=1, INDEX(Imperial_Incremental[], MATCH('Imperial Data'!AG343, Imperial_Incremental[Height], 1), MATCH('Cumulative Volumes Imperial'!$F$4, Imperial_Incremental[#Headers], 0)), 0))</f>
        <v/>
      </c>
      <c r="D354" s="30" t="str">
        <f>IF(B354=0,"",IF('Imperial Data'!AG343&gt;=1, INDEX(Imperial_Incremental[], MATCH('Imperial Data'!AG343, Imperial_Incremental[Height], 1), MATCH('Cumulative Volumes Imperial'!$F$4 &amp; "EC", Imperial_Incremental[#Headers], 0)), 0))</f>
        <v/>
      </c>
      <c r="E354" s="30"/>
      <c r="F354" s="30"/>
      <c r="G354" s="30" t="str">
        <f>IF(B354=0,"",IF('Cumulative Volumes Imperial'!$AQ$17=FALSE,I354,H354))</f>
        <v/>
      </c>
      <c r="H354" s="30"/>
      <c r="I354" s="30"/>
      <c r="J354" s="30" t="str">
        <f>IF(B354="","",IF('Cumulative Volumes Imperial'!$AQ$17=FALSE,L354,K354))</f>
        <v/>
      </c>
      <c r="K354" s="30"/>
      <c r="L354" s="30"/>
      <c r="M354" s="30" t="str">
        <f>IF($E$8+45+$E$9&gt;989,"FALSE",IF(B354="","",IF('Cumulative Volumes Imperial'!$AQ$17=FALSE,O354,N354)))</f>
        <v/>
      </c>
      <c r="N354" s="30"/>
      <c r="O354" s="30" t="str">
        <f>IF(B354=0,"",IF('Cumulative Volumes Imperial'!$AQ$17=FALSE,(V354*$E$4)+(W354*$E$5),N354))</f>
        <v/>
      </c>
      <c r="P354" s="30" t="str">
        <f>IF(B354=0,"",(((1/12)*'Imperial Data'!$AC$4*'Imperial Data'!$AC$5)-C354)*$H$6)</f>
        <v/>
      </c>
      <c r="Q354" s="30"/>
      <c r="R354" s="30" t="str">
        <f>IF(B354=0,"",(((1/12)*'Imperial Data'!$AC$5*'Imperial Data'!$AC$7)-D354)*$H$6)</f>
        <v/>
      </c>
      <c r="S354" s="30"/>
      <c r="T354" s="30"/>
      <c r="U354" s="30"/>
      <c r="V354" s="30"/>
      <c r="W354" s="30" t="str">
        <f t="shared" si="66"/>
        <v/>
      </c>
      <c r="X354" s="31"/>
      <c r="Y354" s="30" t="str">
        <f t="shared" si="67"/>
        <v/>
      </c>
    </row>
    <row r="355" spans="2:25" x14ac:dyDescent="0.2">
      <c r="B355" s="34"/>
      <c r="C355" s="30" t="str">
        <f>IF(B355=0,"",IF('Imperial Data'!AG344&gt;=1, INDEX(Imperial_Incremental[], MATCH('Imperial Data'!AG344, Imperial_Incremental[Height], 1), MATCH('Cumulative Volumes Imperial'!$F$4, Imperial_Incremental[#Headers], 0)), 0))</f>
        <v/>
      </c>
      <c r="D355" s="30" t="str">
        <f>IF(B355=0,"",IF('Imperial Data'!AG344&gt;=1, INDEX(Imperial_Incremental[], MATCH('Imperial Data'!AG344, Imperial_Incremental[Height], 1), MATCH('Cumulative Volumes Imperial'!$F$4 &amp; "EC", Imperial_Incremental[#Headers], 0)), 0))</f>
        <v/>
      </c>
      <c r="E355" s="30"/>
      <c r="F355" s="30"/>
      <c r="G355" s="30" t="str">
        <f>IF(B355=0,"",IF('Cumulative Volumes Imperial'!$AQ$17=FALSE,I355,H355))</f>
        <v/>
      </c>
      <c r="H355" s="30"/>
      <c r="I355" s="30"/>
      <c r="J355" s="30" t="str">
        <f>IF(B355="","",IF('Cumulative Volumes Imperial'!$AQ$17=FALSE,L355,K355))</f>
        <v/>
      </c>
      <c r="K355" s="30"/>
      <c r="L355" s="30"/>
      <c r="M355" s="30" t="str">
        <f>IF($E$8+45+$E$9&gt;989,"FALSE",IF(B355="","",IF('Cumulative Volumes Imperial'!$AQ$17=FALSE,O355,N355)))</f>
        <v/>
      </c>
      <c r="N355" s="30"/>
      <c r="O355" s="30" t="str">
        <f>IF(B355=0,"",IF('Cumulative Volumes Imperial'!$AQ$17=FALSE,(V355*$E$4)+(W355*$E$5),N355))</f>
        <v/>
      </c>
      <c r="P355" s="30" t="str">
        <f>IF(B355=0,"",(((1/12)*'Imperial Data'!$AC$4*'Imperial Data'!$AC$5)-C355)*$H$6)</f>
        <v/>
      </c>
      <c r="Q355" s="30"/>
      <c r="R355" s="30" t="str">
        <f>IF(B355=0,"",(((1/12)*'Imperial Data'!$AC$5*'Imperial Data'!$AC$7)-D355)*$H$6)</f>
        <v/>
      </c>
      <c r="S355" s="30"/>
      <c r="T355" s="30"/>
      <c r="U355" s="30"/>
      <c r="V355" s="30"/>
      <c r="W355" s="30" t="str">
        <f t="shared" si="66"/>
        <v/>
      </c>
      <c r="X355" s="31"/>
      <c r="Y355" s="30" t="str">
        <f t="shared" si="67"/>
        <v/>
      </c>
    </row>
    <row r="356" spans="2:25" x14ac:dyDescent="0.2">
      <c r="B356" s="34"/>
      <c r="C356" s="30" t="str">
        <f>IF(B356=0,"",IF('Imperial Data'!AG345&gt;=1, INDEX(Imperial_Incremental[], MATCH('Imperial Data'!AG345, Imperial_Incremental[Height], 1), MATCH('Cumulative Volumes Imperial'!$F$4, Imperial_Incremental[#Headers], 0)), 0))</f>
        <v/>
      </c>
      <c r="D356" s="30" t="str">
        <f>IF(B356=0,"",IF('Imperial Data'!AG345&gt;=1, INDEX(Imperial_Incremental[], MATCH('Imperial Data'!AG345, Imperial_Incremental[Height], 1), MATCH('Cumulative Volumes Imperial'!$F$4 &amp; "EC", Imperial_Incremental[#Headers], 0)), 0))</f>
        <v/>
      </c>
      <c r="E356" s="30"/>
      <c r="F356" s="30"/>
      <c r="G356" s="30" t="str">
        <f>IF(B356=0,"",IF('Cumulative Volumes Imperial'!$AQ$17=FALSE,I356,H356))</f>
        <v/>
      </c>
      <c r="H356" s="30"/>
      <c r="I356" s="30"/>
      <c r="J356" s="30" t="str">
        <f>IF(B356="","",IF('Cumulative Volumes Imperial'!$AQ$17=FALSE,L356,K356))</f>
        <v/>
      </c>
      <c r="K356" s="30"/>
      <c r="L356" s="30"/>
      <c r="M356" s="30" t="str">
        <f>IF($E$8+45+$E$9&gt;989,"FALSE",IF(B356="","",IF('Cumulative Volumes Imperial'!$AQ$17=FALSE,O356,N356)))</f>
        <v/>
      </c>
      <c r="N356" s="30"/>
      <c r="O356" s="30" t="str">
        <f>IF(B356=0,"",IF('Cumulative Volumes Imperial'!$AQ$17=FALSE,(V356*$E$4)+(W356*$E$5),N356))</f>
        <v/>
      </c>
      <c r="P356" s="30" t="str">
        <f>IF(B356=0,"",(((1/12)*'Imperial Data'!$AC$4*'Imperial Data'!$AC$5)-C356)*$H$6)</f>
        <v/>
      </c>
      <c r="Q356" s="30"/>
      <c r="R356" s="30" t="str">
        <f>IF(B356=0,"",(((1/12)*'Imperial Data'!$AC$5*'Imperial Data'!$AC$7)-D356)*$H$6)</f>
        <v/>
      </c>
      <c r="S356" s="30"/>
      <c r="T356" s="30"/>
      <c r="U356" s="30"/>
      <c r="V356" s="30"/>
      <c r="W356" s="30" t="str">
        <f t="shared" si="66"/>
        <v/>
      </c>
      <c r="X356" s="31"/>
      <c r="Y356" s="30" t="str">
        <f t="shared" si="67"/>
        <v/>
      </c>
    </row>
    <row r="357" spans="2:25" x14ac:dyDescent="0.2">
      <c r="B357" s="34"/>
      <c r="C357" s="30" t="str">
        <f>IF(B357=0,"",IF('Imperial Data'!AG346&gt;=1, INDEX(Imperial_Incremental[], MATCH('Imperial Data'!AG346, Imperial_Incremental[Height], 1), MATCH('Cumulative Volumes Imperial'!$F$4, Imperial_Incremental[#Headers], 0)), 0))</f>
        <v/>
      </c>
      <c r="D357" s="30" t="str">
        <f>IF(B357=0,"",IF('Imperial Data'!AG346&gt;=1, INDEX(Imperial_Incremental[], MATCH('Imperial Data'!AG346, Imperial_Incremental[Height], 1), MATCH('Cumulative Volumes Imperial'!$F$4 &amp; "EC", Imperial_Incremental[#Headers], 0)), 0))</f>
        <v/>
      </c>
      <c r="E357" s="30"/>
      <c r="F357" s="30"/>
      <c r="G357" s="30" t="str">
        <f>IF(B357=0,"",IF('Cumulative Volumes Imperial'!$AQ$17=FALSE,I357,H357))</f>
        <v/>
      </c>
      <c r="H357" s="30"/>
      <c r="I357" s="30"/>
      <c r="J357" s="30" t="str">
        <f>IF(B357="","",IF('Cumulative Volumes Imperial'!$AQ$17=FALSE,L357,K357))</f>
        <v/>
      </c>
      <c r="K357" s="30"/>
      <c r="L357" s="30"/>
      <c r="M357" s="30" t="str">
        <f>IF($E$8+45+$E$9&gt;989,"FALSE",IF(B357="","",IF('Cumulative Volumes Imperial'!$AQ$17=FALSE,O357,N357)))</f>
        <v/>
      </c>
      <c r="N357" s="30"/>
      <c r="O357" s="30" t="str">
        <f>IF(B357=0,"",IF('Cumulative Volumes Imperial'!$AQ$17=FALSE,(V357*$E$4)+(W357*$E$5),N357))</f>
        <v/>
      </c>
      <c r="P357" s="30" t="str">
        <f>IF(B357=0,"",(((1/12)*'Imperial Data'!$AC$4*'Imperial Data'!$AC$5)-C357)*$H$6)</f>
        <v/>
      </c>
      <c r="Q357" s="30"/>
      <c r="R357" s="30" t="str">
        <f>IF(B357=0,"",(((1/12)*'Imperial Data'!$AC$5*'Imperial Data'!$AC$7)-D357)*$H$6)</f>
        <v/>
      </c>
      <c r="S357" s="30"/>
      <c r="T357" s="30"/>
      <c r="U357" s="30"/>
      <c r="V357" s="30"/>
      <c r="W357" s="30" t="str">
        <f t="shared" si="66"/>
        <v/>
      </c>
      <c r="X357" s="31"/>
      <c r="Y357" s="30" t="str">
        <f t="shared" si="67"/>
        <v/>
      </c>
    </row>
    <row r="358" spans="2:25" x14ac:dyDescent="0.2">
      <c r="B358" s="34"/>
      <c r="C358" s="30" t="str">
        <f>IF(B358=0,"",IF('Imperial Data'!AG347&gt;=1, INDEX(Imperial_Incremental[], MATCH('Imperial Data'!AG347, Imperial_Incremental[Height], 1), MATCH('Cumulative Volumes Imperial'!$F$4, Imperial_Incremental[#Headers], 0)), 0))</f>
        <v/>
      </c>
      <c r="D358" s="30" t="str">
        <f>IF(B358=0,"",IF('Imperial Data'!AG347&gt;=1, INDEX(Imperial_Incremental[], MATCH('Imperial Data'!AG347, Imperial_Incremental[Height], 1), MATCH('Cumulative Volumes Imperial'!$F$4 &amp; "EC", Imperial_Incremental[#Headers], 0)), 0))</f>
        <v/>
      </c>
      <c r="E358" s="30"/>
      <c r="F358" s="30"/>
      <c r="G358" s="30" t="str">
        <f>IF(B358=0,"",IF('Cumulative Volumes Imperial'!$AQ$17=FALSE,I358,H358))</f>
        <v/>
      </c>
      <c r="H358" s="30"/>
      <c r="I358" s="30"/>
      <c r="J358" s="30" t="str">
        <f>IF(B358="","",IF('Cumulative Volumes Imperial'!$AQ$17=FALSE,L358,K358))</f>
        <v/>
      </c>
      <c r="K358" s="30"/>
      <c r="L358" s="30"/>
      <c r="M358" s="30" t="str">
        <f>IF($E$8+45+$E$9&gt;989,"FALSE",IF(B358="","",IF('Cumulative Volumes Imperial'!$AQ$17=FALSE,O358,N358)))</f>
        <v/>
      </c>
      <c r="N358" s="30"/>
      <c r="O358" s="30" t="str">
        <f>IF(B358=0,"",IF('Cumulative Volumes Imperial'!$AQ$17=FALSE,(V358*$E$4)+(W358*$E$5),N358))</f>
        <v/>
      </c>
      <c r="P358" s="30" t="str">
        <f>IF(B358=0,"",(((1/12)*'Imperial Data'!$AC$4*'Imperial Data'!$AC$5)-C358)*$H$6)</f>
        <v/>
      </c>
      <c r="Q358" s="30"/>
      <c r="R358" s="30" t="str">
        <f>IF(B358=0,"",(((1/12)*'Imperial Data'!$AC$5*'Imperial Data'!$AC$7)-D358)*$H$6)</f>
        <v/>
      </c>
      <c r="S358" s="30"/>
      <c r="T358" s="30"/>
      <c r="U358" s="30"/>
      <c r="V358" s="30"/>
      <c r="W358" s="30" t="str">
        <f t="shared" si="66"/>
        <v/>
      </c>
      <c r="X358" s="31"/>
      <c r="Y358" s="30" t="str">
        <f t="shared" si="67"/>
        <v/>
      </c>
    </row>
    <row r="359" spans="2:25" x14ac:dyDescent="0.2">
      <c r="B359" s="34"/>
      <c r="C359" s="30" t="str">
        <f>IF(B359=0,"",IF('Imperial Data'!AG348&gt;=1, INDEX(Imperial_Incremental[], MATCH('Imperial Data'!AG348, Imperial_Incremental[Height], 1), MATCH('Cumulative Volumes Imperial'!$F$4, Imperial_Incremental[#Headers], 0)), 0))</f>
        <v/>
      </c>
      <c r="D359" s="30" t="str">
        <f>IF(B359=0,"",IF('Imperial Data'!AG348&gt;=1, INDEX(Imperial_Incremental[], MATCH('Imperial Data'!AG348, Imperial_Incremental[Height], 1), MATCH('Cumulative Volumes Imperial'!$F$4 &amp; "EC", Imperial_Incremental[#Headers], 0)), 0))</f>
        <v/>
      </c>
      <c r="E359" s="30"/>
      <c r="F359" s="30"/>
      <c r="G359" s="30" t="str">
        <f>IF(B359=0,"",IF('Cumulative Volumes Imperial'!$AQ$17=FALSE,I359,H359))</f>
        <v/>
      </c>
      <c r="H359" s="30"/>
      <c r="I359" s="30"/>
      <c r="J359" s="30" t="str">
        <f>IF(B359="","",IF('Cumulative Volumes Imperial'!$AQ$17=FALSE,L359,K359))</f>
        <v/>
      </c>
      <c r="K359" s="30"/>
      <c r="L359" s="30"/>
      <c r="M359" s="30" t="str">
        <f>IF($E$8+45+$E$9&gt;989,"FALSE",IF(B359="","",IF('Cumulative Volumes Imperial'!$AQ$17=FALSE,O359,N359)))</f>
        <v/>
      </c>
      <c r="N359" s="30"/>
      <c r="O359" s="30" t="str">
        <f>IF(B359=0,"",IF('Cumulative Volumes Imperial'!$AQ$17=FALSE,(V359*$E$4)+(W359*$E$5),N359))</f>
        <v/>
      </c>
      <c r="P359" s="30" t="str">
        <f>IF(B359=0,"",(((1/12)*'Imperial Data'!$AC$4*'Imperial Data'!$AC$5)-C359)*$H$6)</f>
        <v/>
      </c>
      <c r="Q359" s="30"/>
      <c r="R359" s="30" t="str">
        <f>IF(B359=0,"",(((1/12)*'Imperial Data'!$AC$5*'Imperial Data'!$AC$7)-D359)*$H$6)</f>
        <v/>
      </c>
      <c r="S359" s="30"/>
      <c r="T359" s="30"/>
      <c r="U359" s="30"/>
      <c r="V359" s="30"/>
      <c r="W359" s="30" t="str">
        <f t="shared" si="66"/>
        <v/>
      </c>
      <c r="X359" s="31"/>
      <c r="Y359" s="30" t="str">
        <f t="shared" si="67"/>
        <v/>
      </c>
    </row>
    <row r="360" spans="2:25" x14ac:dyDescent="0.2">
      <c r="B360" s="34"/>
      <c r="C360" s="30" t="str">
        <f>IF(B360=0,"",IF('Imperial Data'!AG349&gt;=1, INDEX(Imperial_Incremental[], MATCH('Imperial Data'!AG349, Imperial_Incremental[Height], 1), MATCH('Cumulative Volumes Imperial'!$F$4, Imperial_Incremental[#Headers], 0)), 0))</f>
        <v/>
      </c>
      <c r="D360" s="30" t="str">
        <f>IF(B360=0,"",IF('Imperial Data'!AG349&gt;=1, INDEX(Imperial_Incremental[], MATCH('Imperial Data'!AG349, Imperial_Incremental[Height], 1), MATCH('Cumulative Volumes Imperial'!$F$4 &amp; "EC", Imperial_Incremental[#Headers], 0)), 0))</f>
        <v/>
      </c>
      <c r="E360" s="30"/>
      <c r="F360" s="30"/>
      <c r="G360" s="30" t="str">
        <f>IF(B360=0,"",IF('Cumulative Volumes Imperial'!$AQ$17=FALSE,I360,H360))</f>
        <v/>
      </c>
      <c r="H360" s="30"/>
      <c r="I360" s="30"/>
      <c r="J360" s="30" t="str">
        <f>IF(B360="","",IF('Cumulative Volumes Imperial'!$AQ$17=FALSE,L360,K360))</f>
        <v/>
      </c>
      <c r="K360" s="30"/>
      <c r="L360" s="30"/>
      <c r="M360" s="30" t="str">
        <f>IF($E$8+45+$E$9&gt;989,"FALSE",IF(B360="","",IF('Cumulative Volumes Imperial'!$AQ$17=FALSE,O360,N360)))</f>
        <v/>
      </c>
      <c r="N360" s="30"/>
      <c r="O360" s="30" t="str">
        <f>IF(B360=0,"",IF('Cumulative Volumes Imperial'!$AQ$17=FALSE,(V360*$E$4)+(W360*$E$5),N360))</f>
        <v/>
      </c>
      <c r="P360" s="30" t="str">
        <f>IF(B360=0,"",(((1/12)*'Imperial Data'!$AC$4*'Imperial Data'!$AC$5)-C360)*$H$6)</f>
        <v/>
      </c>
      <c r="Q360" s="30"/>
      <c r="R360" s="30" t="str">
        <f>IF(B360=0,"",(((1/12)*'Imperial Data'!$AC$5*'Imperial Data'!$AC$7)-D360)*$H$6)</f>
        <v/>
      </c>
      <c r="S360" s="30"/>
      <c r="T360" s="30"/>
      <c r="U360" s="30"/>
      <c r="V360" s="30"/>
      <c r="W360" s="30" t="str">
        <f t="shared" si="66"/>
        <v/>
      </c>
      <c r="X360" s="31"/>
      <c r="Y360" s="30" t="str">
        <f t="shared" si="67"/>
        <v/>
      </c>
    </row>
    <row r="361" spans="2:25" x14ac:dyDescent="0.2">
      <c r="B361" s="34"/>
      <c r="C361" s="30" t="str">
        <f>IF(B361=0,"",IF('Imperial Data'!AG350&gt;=1, INDEX(Imperial_Incremental[], MATCH('Imperial Data'!AG350, Imperial_Incremental[Height], 1), MATCH('Cumulative Volumes Imperial'!$F$4, Imperial_Incremental[#Headers], 0)), 0))</f>
        <v/>
      </c>
      <c r="D361" s="30" t="str">
        <f>IF(B361=0,"",IF('Imperial Data'!AG350&gt;=1, INDEX(Imperial_Incremental[], MATCH('Imperial Data'!AG350, Imperial_Incremental[Height], 1), MATCH('Cumulative Volumes Imperial'!$F$4 &amp; "EC", Imperial_Incremental[#Headers], 0)), 0))</f>
        <v/>
      </c>
      <c r="E361" s="30"/>
      <c r="F361" s="30"/>
      <c r="G361" s="30" t="str">
        <f>IF(B361=0,"",IF('Cumulative Volumes Imperial'!$AQ$17=FALSE,I361,H361))</f>
        <v/>
      </c>
      <c r="H361" s="30"/>
      <c r="I361" s="30"/>
      <c r="J361" s="30" t="str">
        <f>IF(B361="","",IF('Cumulative Volumes Imperial'!$AQ$17=FALSE,L361,K361))</f>
        <v/>
      </c>
      <c r="K361" s="30"/>
      <c r="L361" s="30"/>
      <c r="M361" s="30" t="str">
        <f>IF($E$8+45+$E$9&gt;989,"FALSE",IF(B361="","",IF('Cumulative Volumes Imperial'!$AQ$17=FALSE,O361,N361)))</f>
        <v/>
      </c>
      <c r="N361" s="30"/>
      <c r="O361" s="30" t="str">
        <f>IF(B361=0,"",IF('Cumulative Volumes Imperial'!$AQ$17=FALSE,(V361*$E$4)+(W361*$E$5),N361))</f>
        <v/>
      </c>
      <c r="P361" s="30" t="str">
        <f>IF(B361=0,"",(((1/12)*'Imperial Data'!$AC$4*'Imperial Data'!$AC$5)-C361)*$H$6)</f>
        <v/>
      </c>
      <c r="Q361" s="30"/>
      <c r="R361" s="30" t="str">
        <f>IF(B361=0,"",(((1/12)*'Imperial Data'!$AC$5*'Imperial Data'!$AC$7)-D361)*$H$6)</f>
        <v/>
      </c>
      <c r="S361" s="30"/>
      <c r="T361" s="30"/>
      <c r="U361" s="30"/>
      <c r="V361" s="30"/>
      <c r="W361" s="30" t="str">
        <f t="shared" si="66"/>
        <v/>
      </c>
      <c r="X361" s="31"/>
      <c r="Y361" s="30" t="str">
        <f t="shared" si="67"/>
        <v/>
      </c>
    </row>
    <row r="362" spans="2:25" x14ac:dyDescent="0.2">
      <c r="B362" s="34"/>
      <c r="C362" s="30" t="str">
        <f>IF(B362=0,"",IF('Imperial Data'!AG351&gt;=1, INDEX(Imperial_Incremental[], MATCH('Imperial Data'!AG351, Imperial_Incremental[Height], 1), MATCH('Cumulative Volumes Imperial'!$F$4, Imperial_Incremental[#Headers], 0)), 0))</f>
        <v/>
      </c>
      <c r="D362" s="30" t="str">
        <f>IF(B362=0,"",IF('Imperial Data'!AG351&gt;=1, INDEX(Imperial_Incremental[], MATCH('Imperial Data'!AG351, Imperial_Incremental[Height], 1), MATCH('Cumulative Volumes Imperial'!$F$4 &amp; "EC", Imperial_Incremental[#Headers], 0)), 0))</f>
        <v/>
      </c>
      <c r="E362" s="30"/>
      <c r="F362" s="30"/>
      <c r="G362" s="30" t="str">
        <f>IF(B362=0,"",IF('Cumulative Volumes Imperial'!$AQ$17=FALSE,I362,H362))</f>
        <v/>
      </c>
      <c r="H362" s="30"/>
      <c r="I362" s="30"/>
      <c r="J362" s="30" t="str">
        <f>IF(B362="","",IF('Cumulative Volumes Imperial'!$AQ$17=FALSE,L362,K362))</f>
        <v/>
      </c>
      <c r="K362" s="30"/>
      <c r="L362" s="30"/>
      <c r="M362" s="30" t="str">
        <f>IF($E$8+45+$E$9&gt;989,"FALSE",IF(B362="","",IF('Cumulative Volumes Imperial'!$AQ$17=FALSE,O362,N362)))</f>
        <v/>
      </c>
      <c r="N362" s="30"/>
      <c r="O362" s="30" t="str">
        <f>IF(B362=0,"",IF('Cumulative Volumes Imperial'!$AQ$17=FALSE,(V362*$E$4)+(W362*$E$5),N362))</f>
        <v/>
      </c>
      <c r="P362" s="30" t="str">
        <f>IF(B362=0,"",(((1/12)*'Imperial Data'!$AC$4*'Imperial Data'!$AC$5)-C362)*$H$6)</f>
        <v/>
      </c>
      <c r="Q362" s="30"/>
      <c r="R362" s="30" t="str">
        <f>IF(B362=0,"",(((1/12)*'Imperial Data'!$AC$5*'Imperial Data'!$AC$7)-D362)*$H$6)</f>
        <v/>
      </c>
      <c r="S362" s="30"/>
      <c r="T362" s="30"/>
      <c r="U362" s="30"/>
      <c r="V362" s="30"/>
      <c r="W362" s="30" t="str">
        <f t="shared" si="66"/>
        <v/>
      </c>
      <c r="X362" s="31"/>
      <c r="Y362" s="30" t="str">
        <f t="shared" si="67"/>
        <v/>
      </c>
    </row>
    <row r="363" spans="2:25" x14ac:dyDescent="0.2">
      <c r="B363" s="34"/>
      <c r="C363" s="30" t="str">
        <f>IF(B363=0,"",IF('Imperial Data'!AG352&gt;=1, INDEX(Imperial_Incremental[], MATCH('Imperial Data'!AG352, Imperial_Incremental[Height], 1), MATCH('Cumulative Volumes Imperial'!$F$4, Imperial_Incremental[#Headers], 0)), 0))</f>
        <v/>
      </c>
      <c r="D363" s="30" t="str">
        <f>IF(B363=0,"",IF('Imperial Data'!AG352&gt;=1, INDEX(Imperial_Incremental[], MATCH('Imperial Data'!AG352, Imperial_Incremental[Height], 1), MATCH('Cumulative Volumes Imperial'!$F$4 &amp; "EC", Imperial_Incremental[#Headers], 0)), 0))</f>
        <v/>
      </c>
      <c r="E363" s="30"/>
      <c r="F363" s="30"/>
      <c r="G363" s="30" t="str">
        <f>IF(B363=0,"",IF('Cumulative Volumes Imperial'!$AQ$17=FALSE,I363,H363))</f>
        <v/>
      </c>
      <c r="H363" s="30"/>
      <c r="I363" s="30"/>
      <c r="J363" s="30" t="str">
        <f>IF(B363="","",IF('Cumulative Volumes Imperial'!$AQ$17=FALSE,L363,K363))</f>
        <v/>
      </c>
      <c r="K363" s="30"/>
      <c r="L363" s="30"/>
      <c r="M363" s="30" t="str">
        <f>IF($E$8+45+$E$9&gt;989,"FALSE",IF(B363="","",IF('Cumulative Volumes Imperial'!$AQ$17=FALSE,O363,N363)))</f>
        <v/>
      </c>
      <c r="N363" s="30"/>
      <c r="O363" s="30" t="str">
        <f>IF(B363=0,"",IF('Cumulative Volumes Imperial'!$AQ$17=FALSE,(V363*$E$4)+(W363*$E$5),N363))</f>
        <v/>
      </c>
      <c r="P363" s="30" t="str">
        <f>IF(B363=0,"",(((1/12)*'Imperial Data'!$AC$4*'Imperial Data'!$AC$5)-C363)*$H$6)</f>
        <v/>
      </c>
      <c r="Q363" s="30"/>
      <c r="R363" s="30" t="str">
        <f>IF(B363=0,"",(((1/12)*'Imperial Data'!$AC$5*'Imperial Data'!$AC$7)-D363)*$H$6)</f>
        <v/>
      </c>
      <c r="S363" s="30"/>
      <c r="T363" s="30"/>
      <c r="U363" s="30"/>
      <c r="V363" s="30"/>
      <c r="W363" s="30" t="str">
        <f t="shared" si="66"/>
        <v/>
      </c>
      <c r="X363" s="31"/>
      <c r="Y363" s="30" t="str">
        <f t="shared" si="67"/>
        <v/>
      </c>
    </row>
    <row r="364" spans="2:25" x14ac:dyDescent="0.2">
      <c r="B364" s="34"/>
      <c r="C364" s="30" t="str">
        <f>IF(B364=0,"",IF('Imperial Data'!AG353&gt;=1, INDEX(Imperial_Incremental[], MATCH('Imperial Data'!AG353, Imperial_Incremental[Height], 1), MATCH('Cumulative Volumes Imperial'!$F$4, Imperial_Incremental[#Headers], 0)), 0))</f>
        <v/>
      </c>
      <c r="D364" s="30" t="str">
        <f>IF(B364=0,"",IF('Imperial Data'!AG353&gt;=1, INDEX(Imperial_Incremental[], MATCH('Imperial Data'!AG353, Imperial_Incremental[Height], 1), MATCH('Cumulative Volumes Imperial'!$F$4 &amp; "EC", Imperial_Incremental[#Headers], 0)), 0))</f>
        <v/>
      </c>
      <c r="E364" s="30"/>
      <c r="F364" s="30"/>
      <c r="G364" s="30" t="str">
        <f>IF(B364=0,"",IF('Cumulative Volumes Imperial'!$AQ$17=FALSE,I364,H364))</f>
        <v/>
      </c>
      <c r="H364" s="30"/>
      <c r="I364" s="30"/>
      <c r="J364" s="30" t="str">
        <f>IF(B364="","",IF('Cumulative Volumes Imperial'!$AQ$17=FALSE,L364,K364))</f>
        <v/>
      </c>
      <c r="K364" s="30"/>
      <c r="L364" s="30"/>
      <c r="M364" s="30" t="str">
        <f>IF($E$8+45+$E$9&gt;989,"FALSE",IF(B364="","",IF('Cumulative Volumes Imperial'!$AQ$17=FALSE,O364,N364)))</f>
        <v/>
      </c>
      <c r="N364" s="30"/>
      <c r="O364" s="30" t="str">
        <f>IF(B364=0,"",IF('Cumulative Volumes Imperial'!$AQ$17=FALSE,(V364*$E$4)+(W364*$E$5),N364))</f>
        <v/>
      </c>
      <c r="P364" s="30" t="str">
        <f>IF(B364=0,"",(((1/12)*'Imperial Data'!$AC$4*'Imperial Data'!$AC$5)-C364)*$H$6)</f>
        <v/>
      </c>
      <c r="Q364" s="30"/>
      <c r="R364" s="30" t="str">
        <f>IF(B364=0,"",(((1/12)*'Imperial Data'!$AC$5*'Imperial Data'!$AC$7)-D364)*$H$6)</f>
        <v/>
      </c>
      <c r="S364" s="30"/>
      <c r="T364" s="30"/>
      <c r="U364" s="30"/>
      <c r="V364" s="30"/>
      <c r="W364" s="30" t="str">
        <f t="shared" si="66"/>
        <v/>
      </c>
      <c r="X364" s="31"/>
      <c r="Y364" s="30" t="str">
        <f t="shared" si="67"/>
        <v/>
      </c>
    </row>
    <row r="365" spans="2:25" x14ac:dyDescent="0.2">
      <c r="B365" s="34"/>
      <c r="C365" s="30" t="str">
        <f>IF(B365=0,"",IF('Imperial Data'!AG354&gt;=1, INDEX(Imperial_Incremental[], MATCH('Imperial Data'!AG354, Imperial_Incremental[Height], 1), MATCH('Cumulative Volumes Imperial'!$F$4, Imperial_Incremental[#Headers], 0)), 0))</f>
        <v/>
      </c>
      <c r="D365" s="30" t="str">
        <f>IF(B365=0,"",IF('Imperial Data'!AG354&gt;=1, INDEX(Imperial_Incremental[], MATCH('Imperial Data'!AG354, Imperial_Incremental[Height], 1), MATCH('Cumulative Volumes Imperial'!$F$4 &amp; "EC", Imperial_Incremental[#Headers], 0)), 0))</f>
        <v/>
      </c>
      <c r="E365" s="30"/>
      <c r="F365" s="30"/>
      <c r="G365" s="30" t="str">
        <f>IF(B365=0,"",IF('Cumulative Volumes Imperial'!$AQ$17=FALSE,I365,H365))</f>
        <v/>
      </c>
      <c r="H365" s="30"/>
      <c r="I365" s="30"/>
      <c r="J365" s="30" t="str">
        <f>IF(B365="","",IF('Cumulative Volumes Imperial'!$AQ$17=FALSE,L365,K365))</f>
        <v/>
      </c>
      <c r="K365" s="30"/>
      <c r="L365" s="30"/>
      <c r="M365" s="30" t="str">
        <f>IF($E$8+45+$E$9&gt;989,"FALSE",IF(B365="","",IF('Cumulative Volumes Imperial'!$AQ$17=FALSE,O365,N365)))</f>
        <v/>
      </c>
      <c r="N365" s="30"/>
      <c r="O365" s="30" t="str">
        <f>IF(B365=0,"",IF('Cumulative Volumes Imperial'!$AQ$17=FALSE,(V365*$E$4)+(W365*$E$5),N365))</f>
        <v/>
      </c>
      <c r="P365" s="30" t="str">
        <f>IF(B365=0,"",(((1/12)*'Imperial Data'!$AC$4*'Imperial Data'!$AC$5)-C365)*$H$6)</f>
        <v/>
      </c>
      <c r="Q365" s="30"/>
      <c r="R365" s="30" t="str">
        <f>IF(B365=0,"",(((1/12)*'Imperial Data'!$AC$5*'Imperial Data'!$AC$7)-D365)*$H$6)</f>
        <v/>
      </c>
      <c r="S365" s="30"/>
      <c r="T365" s="30"/>
      <c r="U365" s="30"/>
      <c r="V365" s="30"/>
      <c r="W365" s="30" t="str">
        <f t="shared" si="66"/>
        <v/>
      </c>
      <c r="X365" s="31"/>
      <c r="Y365" s="30" t="str">
        <f t="shared" si="67"/>
        <v/>
      </c>
    </row>
    <row r="366" spans="2:25" x14ac:dyDescent="0.2">
      <c r="B366" s="34"/>
      <c r="C366" s="30" t="str">
        <f>IF(B366=0,"",IF('Imperial Data'!AG355&gt;=1, INDEX(Imperial_Incremental[], MATCH('Imperial Data'!AG355, Imperial_Incremental[Height], 1), MATCH('Cumulative Volumes Imperial'!$F$4, Imperial_Incremental[#Headers], 0)), 0))</f>
        <v/>
      </c>
      <c r="D366" s="30" t="str">
        <f>IF(B366=0,"",IF('Imperial Data'!AG355&gt;=1, INDEX(Imperial_Incremental[], MATCH('Imperial Data'!AG355, Imperial_Incremental[Height], 1), MATCH('Cumulative Volumes Imperial'!$F$4 &amp; "EC", Imperial_Incremental[#Headers], 0)), 0))</f>
        <v/>
      </c>
      <c r="E366" s="30"/>
      <c r="F366" s="30"/>
      <c r="G366" s="30" t="str">
        <f>IF(B366=0,"",IF('Cumulative Volumes Imperial'!$AQ$17=FALSE,I366,H366))</f>
        <v/>
      </c>
      <c r="H366" s="30"/>
      <c r="I366" s="30"/>
      <c r="J366" s="30" t="str">
        <f>IF(B366="","",IF('Cumulative Volumes Imperial'!$AQ$17=FALSE,L366,K366))</f>
        <v/>
      </c>
      <c r="K366" s="30"/>
      <c r="L366" s="30"/>
      <c r="M366" s="30" t="str">
        <f>IF($E$8+45+$E$9&gt;989,"FALSE",IF(B366="","",IF('Cumulative Volumes Imperial'!$AQ$17=FALSE,O366,N366)))</f>
        <v/>
      </c>
      <c r="N366" s="30"/>
      <c r="O366" s="30" t="str">
        <f>IF(B366=0,"",IF('Cumulative Volumes Imperial'!$AQ$17=FALSE,(V366*$E$4)+(W366*$E$5),N366))</f>
        <v/>
      </c>
      <c r="P366" s="30" t="str">
        <f>IF(B366=0,"",(((1/12)*'Imperial Data'!$AC$4*'Imperial Data'!$AC$5)-C366)*$H$6)</f>
        <v/>
      </c>
      <c r="Q366" s="30"/>
      <c r="R366" s="30" t="str">
        <f>IF(B366=0,"",(((1/12)*'Imperial Data'!$AC$5*'Imperial Data'!$AC$7)-D366)*$H$6)</f>
        <v/>
      </c>
      <c r="S366" s="30"/>
      <c r="T366" s="30"/>
      <c r="U366" s="30"/>
      <c r="V366" s="30"/>
      <c r="W366" s="30" t="str">
        <f t="shared" si="66"/>
        <v/>
      </c>
      <c r="X366" s="31"/>
      <c r="Y366" s="30" t="str">
        <f t="shared" si="67"/>
        <v/>
      </c>
    </row>
    <row r="367" spans="2:25" x14ac:dyDescent="0.2">
      <c r="B367" s="34"/>
      <c r="C367" s="30" t="str">
        <f>IF(B367=0,"",IF('Imperial Data'!AG356&gt;=1, INDEX(Imperial_Incremental[], MATCH('Imperial Data'!AG356, Imperial_Incremental[Height], 1), MATCH('Cumulative Volumes Imperial'!$F$4, Imperial_Incremental[#Headers], 0)), 0))</f>
        <v/>
      </c>
      <c r="D367" s="30" t="str">
        <f>IF(B367=0,"",IF('Imperial Data'!AG356&gt;=1, INDEX(Imperial_Incremental[], MATCH('Imperial Data'!AG356, Imperial_Incremental[Height], 1), MATCH('Cumulative Volumes Imperial'!$F$4 &amp; "EC", Imperial_Incremental[#Headers], 0)), 0))</f>
        <v/>
      </c>
      <c r="E367" s="30"/>
      <c r="F367" s="30"/>
      <c r="G367" s="30" t="str">
        <f>IF(B367=0,"",IF('Cumulative Volumes Imperial'!$AQ$17=FALSE,I367,H367))</f>
        <v/>
      </c>
      <c r="H367" s="30"/>
      <c r="I367" s="30"/>
      <c r="J367" s="30" t="str">
        <f>IF(B367="","",IF('Cumulative Volumes Imperial'!$AQ$17=FALSE,L367,K367))</f>
        <v/>
      </c>
      <c r="K367" s="30"/>
      <c r="L367" s="30"/>
      <c r="M367" s="30" t="str">
        <f>IF($E$8+45+$E$9&gt;989,"FALSE",IF(B367="","",IF('Cumulative Volumes Imperial'!$AQ$17=FALSE,O367,N367)))</f>
        <v/>
      </c>
      <c r="N367" s="30"/>
      <c r="O367" s="30" t="str">
        <f>IF(B367=0,"",IF('Cumulative Volumes Imperial'!$AQ$17=FALSE,(V367*$E$4)+(W367*$E$5),N367))</f>
        <v/>
      </c>
      <c r="P367" s="30" t="str">
        <f>IF(B367=0,"",(((1/12)*'Imperial Data'!$AC$4*'Imperial Data'!$AC$5)-C367)*$H$6)</f>
        <v/>
      </c>
      <c r="Q367" s="30"/>
      <c r="R367" s="30" t="str">
        <f>IF(B367=0,"",(((1/12)*'Imperial Data'!$AC$5*'Imperial Data'!$AC$7)-D367)*$H$6)</f>
        <v/>
      </c>
      <c r="S367" s="30"/>
      <c r="T367" s="30"/>
      <c r="U367" s="30"/>
      <c r="V367" s="30"/>
      <c r="W367" s="30" t="str">
        <f t="shared" si="66"/>
        <v/>
      </c>
      <c r="X367" s="31"/>
      <c r="Y367" s="30" t="str">
        <f t="shared" si="67"/>
        <v/>
      </c>
    </row>
    <row r="368" spans="2:25" x14ac:dyDescent="0.2">
      <c r="B368" s="34"/>
      <c r="C368" s="30" t="str">
        <f>IF(B368=0,"",IF('Imperial Data'!AG357&gt;=1, INDEX(Imperial_Incremental[], MATCH('Imperial Data'!AG357, Imperial_Incremental[Height], 1), MATCH('Cumulative Volumes Imperial'!$F$4, Imperial_Incremental[#Headers], 0)), 0))</f>
        <v/>
      </c>
      <c r="D368" s="30" t="str">
        <f>IF(B368=0,"",IF('Imperial Data'!AG357&gt;=1, INDEX(Imperial_Incremental[], MATCH('Imperial Data'!AG357, Imperial_Incremental[Height], 1), MATCH('Cumulative Volumes Imperial'!$F$4 &amp; "EC", Imperial_Incremental[#Headers], 0)), 0))</f>
        <v/>
      </c>
      <c r="E368" s="30"/>
      <c r="F368" s="30"/>
      <c r="G368" s="30" t="str">
        <f>IF(B368=0,"",IF('Cumulative Volumes Imperial'!$AQ$17=FALSE,I368,H368))</f>
        <v/>
      </c>
      <c r="H368" s="30"/>
      <c r="I368" s="30"/>
      <c r="J368" s="30" t="str">
        <f>IF(B368="","",IF('Cumulative Volumes Imperial'!$AQ$17=FALSE,L368,K368))</f>
        <v/>
      </c>
      <c r="K368" s="30"/>
      <c r="L368" s="30"/>
      <c r="M368" s="30" t="str">
        <f>IF($E$8+45+$E$9&gt;989,"FALSE",IF(B368="","",IF('Cumulative Volumes Imperial'!$AQ$17=FALSE,O368,N368)))</f>
        <v/>
      </c>
      <c r="N368" s="30"/>
      <c r="O368" s="30" t="str">
        <f>IF(B368=0,"",IF('Cumulative Volumes Imperial'!$AQ$17=FALSE,(V368*$E$4)+(W368*$E$5),N368))</f>
        <v/>
      </c>
      <c r="P368" s="30" t="str">
        <f>IF(B368=0,"",(((1/12)*'Imperial Data'!$AC$4*'Imperial Data'!$AC$5)-C368)*$H$6)</f>
        <v/>
      </c>
      <c r="Q368" s="30"/>
      <c r="R368" s="30" t="str">
        <f>IF(B368=0,"",(((1/12)*'Imperial Data'!$AC$5*'Imperial Data'!$AC$7)-D368)*$H$6)</f>
        <v/>
      </c>
      <c r="S368" s="30"/>
      <c r="T368" s="30"/>
      <c r="U368" s="30"/>
      <c r="V368" s="30"/>
      <c r="W368" s="30" t="str">
        <f t="shared" si="66"/>
        <v/>
      </c>
      <c r="X368" s="31"/>
      <c r="Y368" s="30" t="str">
        <f t="shared" si="67"/>
        <v/>
      </c>
    </row>
    <row r="369" spans="2:25" x14ac:dyDescent="0.2">
      <c r="B369" s="34"/>
      <c r="C369" s="30" t="str">
        <f>IF(B369=0,"",IF('Imperial Data'!AG358&gt;=1, INDEX(Imperial_Incremental[], MATCH('Imperial Data'!AG358, Imperial_Incremental[Height], 1), MATCH('Cumulative Volumes Imperial'!$F$4, Imperial_Incremental[#Headers], 0)), 0))</f>
        <v/>
      </c>
      <c r="D369" s="30" t="str">
        <f>IF(B369=0,"",IF('Imperial Data'!AG358&gt;=1, INDEX(Imperial_Incremental[], MATCH('Imperial Data'!AG358, Imperial_Incremental[Height], 1), MATCH('Cumulative Volumes Imperial'!$F$4 &amp; "EC", Imperial_Incremental[#Headers], 0)), 0))</f>
        <v/>
      </c>
      <c r="E369" s="30"/>
      <c r="F369" s="30"/>
      <c r="G369" s="30" t="str">
        <f>IF(B369=0,"",IF('Cumulative Volumes Imperial'!$AQ$17=FALSE,I369,H369))</f>
        <v/>
      </c>
      <c r="H369" s="30"/>
      <c r="I369" s="30"/>
      <c r="J369" s="30" t="str">
        <f>IF(B369="","",IF('Cumulative Volumes Imperial'!$AQ$17=FALSE,L369,K369))</f>
        <v/>
      </c>
      <c r="K369" s="30"/>
      <c r="L369" s="30"/>
      <c r="M369" s="30" t="str">
        <f>IF($E$8+45+$E$9&gt;989,"FALSE",IF(B369="","",IF('Cumulative Volumes Imperial'!$AQ$17=FALSE,O369,N369)))</f>
        <v/>
      </c>
      <c r="N369" s="30"/>
      <c r="O369" s="30" t="str">
        <f>IF(B369=0,"",IF('Cumulative Volumes Imperial'!$AQ$17=FALSE,(V369*$E$4)+(W369*$E$5),N369))</f>
        <v/>
      </c>
      <c r="P369" s="30" t="str">
        <f>IF(B369=0,"",(((1/12)*'Imperial Data'!$AC$4*'Imperial Data'!$AC$5)-C369)*$H$6)</f>
        <v/>
      </c>
      <c r="Q369" s="30"/>
      <c r="R369" s="30" t="str">
        <f>IF(B369=0,"",(((1/12)*'Imperial Data'!$AC$5*'Imperial Data'!$AC$7)-D369)*$H$6)</f>
        <v/>
      </c>
      <c r="S369" s="30"/>
      <c r="T369" s="30"/>
      <c r="U369" s="30"/>
      <c r="V369" s="30"/>
      <c r="W369" s="30" t="str">
        <f t="shared" si="66"/>
        <v/>
      </c>
      <c r="X369" s="31"/>
      <c r="Y369" s="30" t="str">
        <f t="shared" si="67"/>
        <v/>
      </c>
    </row>
    <row r="370" spans="2:25" x14ac:dyDescent="0.2">
      <c r="B370" s="34"/>
      <c r="C370" s="30" t="str">
        <f>IF(B370=0,"",IF('Imperial Data'!AG359&gt;=1, INDEX(Imperial_Incremental[], MATCH('Imperial Data'!AG359, Imperial_Incremental[Height], 1), MATCH('Cumulative Volumes Imperial'!$F$4, Imperial_Incremental[#Headers], 0)), 0))</f>
        <v/>
      </c>
      <c r="D370" s="30" t="str">
        <f>IF(B370=0,"",IF('Imperial Data'!AG359&gt;=1, INDEX(Imperial_Incremental[], MATCH('Imperial Data'!AG359, Imperial_Incremental[Height], 1), MATCH('Cumulative Volumes Imperial'!$F$4 &amp; "EC", Imperial_Incremental[#Headers], 0)), 0))</f>
        <v/>
      </c>
      <c r="E370" s="30"/>
      <c r="F370" s="30"/>
      <c r="G370" s="30" t="str">
        <f>IF(B370=0,"",IF('Cumulative Volumes Imperial'!$AQ$17=FALSE,I370,H370))</f>
        <v/>
      </c>
      <c r="H370" s="30"/>
      <c r="I370" s="30"/>
      <c r="J370" s="30" t="str">
        <f>IF(B370="","",IF('Cumulative Volumes Imperial'!$AQ$17=FALSE,L370,K370))</f>
        <v/>
      </c>
      <c r="K370" s="30"/>
      <c r="L370" s="30"/>
      <c r="M370" s="30" t="str">
        <f>IF($E$8+45+$E$9&gt;989,"FALSE",IF(B370="","",IF('Cumulative Volumes Imperial'!$AQ$17=FALSE,O370,N370)))</f>
        <v/>
      </c>
      <c r="N370" s="30"/>
      <c r="O370" s="30" t="str">
        <f>IF(B370=0,"",IF('Cumulative Volumes Imperial'!$AQ$17=FALSE,(V370*$E$4)+(W370*$E$5),N370))</f>
        <v/>
      </c>
      <c r="P370" s="30" t="str">
        <f>IF(B370=0,"",(((1/12)*'Imperial Data'!$AC$4*'Imperial Data'!$AC$5)-C370)*$H$6)</f>
        <v/>
      </c>
      <c r="Q370" s="30"/>
      <c r="R370" s="30" t="str">
        <f>IF(B370=0,"",(((1/12)*'Imperial Data'!$AC$5*'Imperial Data'!$AC$7)-D370)*$H$6)</f>
        <v/>
      </c>
      <c r="S370" s="30"/>
      <c r="T370" s="30"/>
      <c r="U370" s="30"/>
      <c r="V370" s="30"/>
      <c r="W370" s="30" t="str">
        <f t="shared" si="66"/>
        <v/>
      </c>
      <c r="X370" s="31"/>
      <c r="Y370" s="30" t="str">
        <f t="shared" si="67"/>
        <v/>
      </c>
    </row>
    <row r="371" spans="2:25" x14ac:dyDescent="0.2">
      <c r="B371" s="34"/>
      <c r="C371" s="30" t="str">
        <f>IF(B371=0,"",IF('Imperial Data'!AG360&gt;=1, INDEX(Imperial_Incremental[], MATCH('Imperial Data'!AG360, Imperial_Incremental[Height], 1), MATCH('Cumulative Volumes Imperial'!$F$4, Imperial_Incremental[#Headers], 0)), 0))</f>
        <v/>
      </c>
      <c r="D371" s="30" t="str">
        <f>IF(B371=0,"",IF('Imperial Data'!AG360&gt;=1, INDEX(Imperial_Incremental[], MATCH('Imperial Data'!AG360, Imperial_Incremental[Height], 1), MATCH('Cumulative Volumes Imperial'!$F$4 &amp; "EC", Imperial_Incremental[#Headers], 0)), 0))</f>
        <v/>
      </c>
      <c r="E371" s="30"/>
      <c r="F371" s="30"/>
      <c r="G371" s="30" t="str">
        <f>IF(B371=0,"",IF('Cumulative Volumes Imperial'!$AQ$17=FALSE,I371,H371))</f>
        <v/>
      </c>
      <c r="H371" s="30"/>
      <c r="I371" s="30"/>
      <c r="J371" s="30" t="str">
        <f>IF(B371="","",IF('Cumulative Volumes Imperial'!$AQ$17=FALSE,L371,K371))</f>
        <v/>
      </c>
      <c r="K371" s="30"/>
      <c r="L371" s="30"/>
      <c r="M371" s="30" t="str">
        <f>IF($E$8+45+$E$9&gt;989,"FALSE",IF(B371="","",IF('Cumulative Volumes Imperial'!$AQ$17=FALSE,O371,N371)))</f>
        <v/>
      </c>
      <c r="N371" s="30"/>
      <c r="O371" s="30" t="str">
        <f>IF(B371=0,"",IF('Cumulative Volumes Imperial'!$AQ$17=FALSE,(V371*$E$4)+(W371*$E$5),N371))</f>
        <v/>
      </c>
      <c r="P371" s="30" t="str">
        <f>IF(B371=0,"",(((1/12)*'Imperial Data'!$AC$4*'Imperial Data'!$AC$5)-C371)*$H$6)</f>
        <v/>
      </c>
      <c r="Q371" s="30"/>
      <c r="R371" s="30" t="str">
        <f>IF(B371=0,"",(((1/12)*'Imperial Data'!$AC$5*'Imperial Data'!$AC$7)-D371)*$H$6)</f>
        <v/>
      </c>
      <c r="S371" s="30"/>
      <c r="T371" s="30"/>
      <c r="U371" s="30"/>
      <c r="V371" s="30"/>
      <c r="W371" s="30" t="str">
        <f t="shared" si="66"/>
        <v/>
      </c>
      <c r="X371" s="31"/>
      <c r="Y371" s="30" t="str">
        <f t="shared" si="67"/>
        <v/>
      </c>
    </row>
    <row r="372" spans="2:25" x14ac:dyDescent="0.2">
      <c r="B372" s="34"/>
      <c r="C372" s="30" t="str">
        <f>IF(B372=0,"",IF('Imperial Data'!AG361&gt;=1, INDEX(Imperial_Incremental[], MATCH('Imperial Data'!AG361, Imperial_Incremental[Height], 1), MATCH('Cumulative Volumes Imperial'!$F$4, Imperial_Incremental[#Headers], 0)), 0))</f>
        <v/>
      </c>
      <c r="D372" s="30" t="str">
        <f>IF(B372=0,"",IF('Imperial Data'!AG361&gt;=1, INDEX(Imperial_Incremental[], MATCH('Imperial Data'!AG361, Imperial_Incremental[Height], 1), MATCH('Cumulative Volumes Imperial'!$F$4 &amp; "EC", Imperial_Incremental[#Headers], 0)), 0))</f>
        <v/>
      </c>
      <c r="E372" s="30"/>
      <c r="F372" s="30"/>
      <c r="G372" s="30" t="str">
        <f>IF(B372=0,"",IF('Cumulative Volumes Imperial'!$AQ$17=FALSE,I372,H372))</f>
        <v/>
      </c>
      <c r="H372" s="30"/>
      <c r="I372" s="30"/>
      <c r="J372" s="30" t="str">
        <f>IF(B372="","",IF('Cumulative Volumes Imperial'!$AQ$17=FALSE,L372,K372))</f>
        <v/>
      </c>
      <c r="K372" s="30"/>
      <c r="L372" s="30"/>
      <c r="M372" s="30" t="str">
        <f>IF($E$8+45+$E$9&gt;989,"FALSE",IF(B372="","",IF('Cumulative Volumes Imperial'!$AQ$17=FALSE,O372,N372)))</f>
        <v/>
      </c>
      <c r="N372" s="30"/>
      <c r="O372" s="30" t="str">
        <f>IF(B372=0,"",IF('Cumulative Volumes Imperial'!$AQ$17=FALSE,(V372*$E$4)+(W372*$E$5),N372))</f>
        <v/>
      </c>
      <c r="P372" s="30" t="str">
        <f>IF(B372=0,"",(((1/12)*'Imperial Data'!$AC$4*'Imperial Data'!$AC$5)-C372)*$H$6)</f>
        <v/>
      </c>
      <c r="Q372" s="30"/>
      <c r="R372" s="30" t="str">
        <f>IF(B372=0,"",(((1/12)*'Imperial Data'!$AC$5*'Imperial Data'!$AC$7)-D372)*$H$6)</f>
        <v/>
      </c>
      <c r="S372" s="30"/>
      <c r="T372" s="30"/>
      <c r="U372" s="30"/>
      <c r="V372" s="30"/>
      <c r="W372" s="30" t="str">
        <f t="shared" si="66"/>
        <v/>
      </c>
      <c r="X372" s="31"/>
      <c r="Y372" s="30" t="str">
        <f t="shared" si="67"/>
        <v/>
      </c>
    </row>
    <row r="373" spans="2:25" x14ac:dyDescent="0.2">
      <c r="B373" s="34"/>
      <c r="C373" s="30" t="str">
        <f>IF(B373=0,"",IF('Imperial Data'!AG362&gt;=1, INDEX(Imperial_Incremental[], MATCH('Imperial Data'!AG362, Imperial_Incremental[Height], 1), MATCH('Cumulative Volumes Imperial'!$F$4, Imperial_Incremental[#Headers], 0)), 0))</f>
        <v/>
      </c>
      <c r="D373" s="30" t="str">
        <f>IF(B373=0,"",IF('Imperial Data'!AG362&gt;=1, INDEX(Imperial_Incremental[], MATCH('Imperial Data'!AG362, Imperial_Incremental[Height], 1), MATCH('Cumulative Volumes Imperial'!$F$4 &amp; "EC", Imperial_Incremental[#Headers], 0)), 0))</f>
        <v/>
      </c>
      <c r="E373" s="30"/>
      <c r="F373" s="30"/>
      <c r="G373" s="30" t="str">
        <f>IF(B373=0,"",IF('Cumulative Volumes Imperial'!$AQ$17=FALSE,I373,H373))</f>
        <v/>
      </c>
      <c r="H373" s="30"/>
      <c r="I373" s="30"/>
      <c r="J373" s="30" t="str">
        <f>IF(B373="","",IF('Cumulative Volumes Imperial'!$AQ$17=FALSE,L373,K373))</f>
        <v/>
      </c>
      <c r="K373" s="30"/>
      <c r="L373" s="30"/>
      <c r="M373" s="30" t="str">
        <f>IF($E$8+45+$E$9&gt;989,"FALSE",IF(B373="","",IF('Cumulative Volumes Imperial'!$AQ$17=FALSE,O373,N373)))</f>
        <v/>
      </c>
      <c r="N373" s="30"/>
      <c r="O373" s="30" t="str">
        <f>IF(B373=0,"",IF('Cumulative Volumes Imperial'!$AQ$17=FALSE,(V373*$E$4)+(W373*$E$5),N373))</f>
        <v/>
      </c>
      <c r="P373" s="30" t="str">
        <f>IF(B373=0,"",(((1/12)*'Imperial Data'!$AC$4*'Imperial Data'!$AC$5)-C373)*$H$6)</f>
        <v/>
      </c>
      <c r="Q373" s="30"/>
      <c r="R373" s="30" t="str">
        <f>IF(B373=0,"",(((1/12)*'Imperial Data'!$AC$5*'Imperial Data'!$AC$7)-D373)*$H$6)</f>
        <v/>
      </c>
      <c r="S373" s="30"/>
      <c r="T373" s="30"/>
      <c r="U373" s="30"/>
      <c r="V373" s="30"/>
      <c r="W373" s="30" t="str">
        <f t="shared" si="66"/>
        <v/>
      </c>
      <c r="X373" s="31"/>
      <c r="Y373" s="30" t="str">
        <f t="shared" si="67"/>
        <v/>
      </c>
    </row>
    <row r="374" spans="2:25" x14ac:dyDescent="0.2">
      <c r="B374" s="34"/>
      <c r="C374" s="30" t="str">
        <f>IF(B374=0,"",IF('Imperial Data'!AG363&gt;=1, INDEX(Imperial_Incremental[], MATCH('Imperial Data'!AG363, Imperial_Incremental[Height], 1), MATCH('Cumulative Volumes Imperial'!$F$4, Imperial_Incremental[#Headers], 0)), 0))</f>
        <v/>
      </c>
      <c r="D374" s="30" t="str">
        <f>IF(B374=0,"",IF('Imperial Data'!AG363&gt;=1, INDEX(Imperial_Incremental[], MATCH('Imperial Data'!AG363, Imperial_Incremental[Height], 1), MATCH('Cumulative Volumes Imperial'!$F$4 &amp; "EC", Imperial_Incremental[#Headers], 0)), 0))</f>
        <v/>
      </c>
      <c r="E374" s="30"/>
      <c r="F374" s="30"/>
      <c r="G374" s="30" t="str">
        <f>IF(B374=0,"",IF('Cumulative Volumes Imperial'!$AQ$17=FALSE,I374,H374))</f>
        <v/>
      </c>
      <c r="H374" s="30"/>
      <c r="I374" s="30"/>
      <c r="J374" s="30" t="str">
        <f>IF(B374="","",IF('Cumulative Volumes Imperial'!$AQ$17=FALSE,L374,K374))</f>
        <v/>
      </c>
      <c r="K374" s="30"/>
      <c r="L374" s="30"/>
      <c r="M374" s="30" t="str">
        <f>IF($E$8+45+$E$9&gt;989,"FALSE",IF(B374="","",IF('Cumulative Volumes Imperial'!$AQ$17=FALSE,O374,N374)))</f>
        <v/>
      </c>
      <c r="N374" s="30"/>
      <c r="O374" s="30" t="str">
        <f>IF(B374=0,"",IF('Cumulative Volumes Imperial'!$AQ$17=FALSE,(V374*$E$4)+(W374*$E$5),N374))</f>
        <v/>
      </c>
      <c r="P374" s="30" t="str">
        <f>IF(B374=0,"",(((1/12)*'Imperial Data'!$AC$4*'Imperial Data'!$AC$5)-C374)*$H$6)</f>
        <v/>
      </c>
      <c r="Q374" s="30"/>
      <c r="R374" s="30" t="str">
        <f>IF(B374=0,"",(((1/12)*'Imperial Data'!$AC$5*'Imperial Data'!$AC$7)-D374)*$H$6)</f>
        <v/>
      </c>
      <c r="S374" s="30"/>
      <c r="T374" s="30"/>
      <c r="U374" s="30"/>
      <c r="V374" s="30"/>
      <c r="W374" s="30" t="str">
        <f t="shared" si="66"/>
        <v/>
      </c>
      <c r="X374" s="31"/>
      <c r="Y374" s="30" t="str">
        <f t="shared" si="67"/>
        <v/>
      </c>
    </row>
    <row r="375" spans="2:25" x14ac:dyDescent="0.2">
      <c r="B375" s="34"/>
      <c r="C375" s="30" t="str">
        <f>IF(B375=0,"",IF('Imperial Data'!AG364&gt;=1, INDEX(Imperial_Incremental[], MATCH('Imperial Data'!AG364, Imperial_Incremental[Height], 1), MATCH('Cumulative Volumes Imperial'!$F$4, Imperial_Incremental[#Headers], 0)), 0))</f>
        <v/>
      </c>
      <c r="D375" s="30" t="str">
        <f>IF(B375=0,"",IF('Imperial Data'!AG364&gt;=1, INDEX(Imperial_Incremental[], MATCH('Imperial Data'!AG364, Imperial_Incremental[Height], 1), MATCH('Cumulative Volumes Imperial'!$F$4 &amp; "EC", Imperial_Incremental[#Headers], 0)), 0))</f>
        <v/>
      </c>
      <c r="E375" s="30"/>
      <c r="F375" s="30"/>
      <c r="G375" s="30" t="str">
        <f>IF(B375=0,"",IF('Cumulative Volumes Imperial'!$AQ$17=FALSE,I375,H375))</f>
        <v/>
      </c>
      <c r="H375" s="30"/>
      <c r="I375" s="30"/>
      <c r="J375" s="30" t="str">
        <f>IF(B375="","",IF('Cumulative Volumes Imperial'!$AQ$17=FALSE,L375,K375))</f>
        <v/>
      </c>
      <c r="K375" s="30"/>
      <c r="L375" s="30"/>
      <c r="M375" s="30" t="str">
        <f>IF($E$8+45+$E$9&gt;989,"FALSE",IF(B375="","",IF('Cumulative Volumes Imperial'!$AQ$17=FALSE,O375,N375)))</f>
        <v/>
      </c>
      <c r="N375" s="30"/>
      <c r="O375" s="30"/>
      <c r="P375" s="30" t="str">
        <f>IF(B375=0,"",(((1/12)*'Imperial Data'!$AC$4*'Imperial Data'!$AC$5)-C375)*$H$6)</f>
        <v/>
      </c>
      <c r="Q375" s="30"/>
      <c r="R375" s="30" t="str">
        <f>IF(B375=0,"",(((1/12)*'Imperial Data'!$AC$5*'Imperial Data'!$AC$7)-D375)*$H$6)</f>
        <v/>
      </c>
      <c r="S375" s="30"/>
      <c r="T375" s="30"/>
      <c r="U375" s="30"/>
      <c r="V375" s="30"/>
      <c r="W375" s="30" t="str">
        <f t="shared" si="66"/>
        <v/>
      </c>
      <c r="X375" s="31"/>
      <c r="Y375" s="30" t="str">
        <f t="shared" si="67"/>
        <v/>
      </c>
    </row>
    <row r="376" spans="2:25" x14ac:dyDescent="0.2">
      <c r="B376" s="34"/>
      <c r="C376" s="30" t="str">
        <f>IF(B376=0,"",IF('Imperial Data'!AG365&gt;=1, INDEX(Imperial_Incremental[], MATCH('Imperial Data'!AG365, Imperial_Incremental[Height], 1), MATCH('Cumulative Volumes Imperial'!$F$4, Imperial_Incremental[#Headers], 0)), 0))</f>
        <v/>
      </c>
      <c r="D376" s="30" t="str">
        <f>IF(B376=0,"",IF('Imperial Data'!AG365&gt;=1, INDEX(Imperial_Incremental[], MATCH('Imperial Data'!AG365, Imperial_Incremental[Height], 1), MATCH('Cumulative Volumes Imperial'!$F$4 &amp; "EC", Imperial_Incremental[#Headers], 0)), 0))</f>
        <v/>
      </c>
      <c r="E376" s="30"/>
      <c r="F376" s="30"/>
      <c r="G376" s="30" t="str">
        <f>IF(B376=0,"",IF('Cumulative Volumes Imperial'!$AQ$17=FALSE,I376,H376))</f>
        <v/>
      </c>
      <c r="H376" s="30"/>
      <c r="I376" s="30"/>
      <c r="J376" s="30" t="str">
        <f>IF(B376="","",IF('Cumulative Volumes Imperial'!$AQ$17=FALSE,L376,K376))</f>
        <v/>
      </c>
      <c r="K376" s="30"/>
      <c r="L376" s="30"/>
      <c r="M376" s="30" t="str">
        <f>IF($E$8+45+$E$9&gt;989,"FALSE",IF(B376="","",IF('Cumulative Volumes Imperial'!$AQ$17=FALSE,O376,N376)))</f>
        <v/>
      </c>
      <c r="N376" s="30"/>
      <c r="O376" s="30"/>
      <c r="P376" s="30" t="str">
        <f>IF(B376=0,"",(((1/12)*'Imperial Data'!$AC$4*'Imperial Data'!$AC$5)-C376)*$H$6)</f>
        <v/>
      </c>
      <c r="Q376" s="30"/>
      <c r="R376" s="30" t="str">
        <f>IF(B376=0,"",(((1/12)*'Imperial Data'!$AC$5*'Imperial Data'!$AC$7)-D376)*$H$6)</f>
        <v/>
      </c>
      <c r="S376" s="30"/>
      <c r="T376" s="30"/>
      <c r="U376" s="30"/>
      <c r="V376" s="30"/>
      <c r="W376" s="30" t="str">
        <f t="shared" si="66"/>
        <v/>
      </c>
      <c r="X376" s="31"/>
      <c r="Y376" s="30" t="str">
        <f t="shared" si="67"/>
        <v/>
      </c>
    </row>
    <row r="377" spans="2:25" x14ac:dyDescent="0.2">
      <c r="B377" s="34"/>
      <c r="C377" s="30" t="str">
        <f>IF(B377=0,"",IF('Imperial Data'!AG366&gt;=1, INDEX(Imperial_Incremental[], MATCH('Imperial Data'!AG366, Imperial_Incremental[Height], 1), MATCH('Cumulative Volumes Imperial'!$F$4, Imperial_Incremental[#Headers], 0)), 0))</f>
        <v/>
      </c>
      <c r="D377" s="30" t="str">
        <f>IF(B377=0,"",IF('Imperial Data'!AG366&gt;=1, INDEX(Imperial_Incremental[], MATCH('Imperial Data'!AG366, Imperial_Incremental[Height], 1), MATCH('Cumulative Volumes Imperial'!$F$4 &amp; "EC", Imperial_Incremental[#Headers], 0)), 0))</f>
        <v/>
      </c>
      <c r="E377" s="30"/>
      <c r="F377" s="30"/>
      <c r="G377" s="30" t="str">
        <f>IF(B377=0,"",IF('Cumulative Volumes Imperial'!$AQ$17=FALSE,I377,H377))</f>
        <v/>
      </c>
      <c r="H377" s="30"/>
      <c r="I377" s="30"/>
      <c r="J377" s="30" t="str">
        <f>IF(B377="","",IF('Cumulative Volumes Imperial'!$AQ$17=FALSE,L377,K377))</f>
        <v/>
      </c>
      <c r="K377" s="30"/>
      <c r="L377" s="30"/>
      <c r="M377" s="30" t="str">
        <f>IF($E$8+45+$E$9&gt;989,"FALSE",IF(B377="","",IF('Cumulative Volumes Imperial'!$AQ$17=FALSE,O377,N377)))</f>
        <v/>
      </c>
      <c r="N377" s="30"/>
      <c r="O377" s="30"/>
      <c r="P377" s="30" t="str">
        <f>IF(B377=0,"",(((1/12)*'Imperial Data'!$AC$4*'Imperial Data'!$AC$5)-C377)*$H$6)</f>
        <v/>
      </c>
      <c r="Q377" s="30"/>
      <c r="R377" s="30" t="str">
        <f>IF(B377=0,"",(((1/12)*'Imperial Data'!$AC$5*'Imperial Data'!$AC$7)-D377)*$H$6)</f>
        <v/>
      </c>
      <c r="S377" s="30"/>
      <c r="T377" s="30"/>
      <c r="U377" s="30"/>
      <c r="V377" s="30"/>
      <c r="W377" s="30" t="str">
        <f t="shared" si="66"/>
        <v/>
      </c>
      <c r="X377" s="31"/>
      <c r="Y377" s="30" t="str">
        <f t="shared" si="67"/>
        <v/>
      </c>
    </row>
    <row r="378" spans="2:25" x14ac:dyDescent="0.2">
      <c r="B378" s="34"/>
      <c r="C378" s="30" t="str">
        <f>IF(B378=0,"",IF('Imperial Data'!AG367&gt;=1, INDEX(Imperial_Incremental[], MATCH('Imperial Data'!AG367, Imperial_Incremental[Height], 1), MATCH('Cumulative Volumes Imperial'!$F$4, Imperial_Incremental[#Headers], 0)), 0))</f>
        <v/>
      </c>
      <c r="D378" s="30" t="str">
        <f>IF(B378=0,"",IF('Imperial Data'!AG367&gt;=1, INDEX(Imperial_Incremental[], MATCH('Imperial Data'!AG367, Imperial_Incremental[Height], 1), MATCH('Cumulative Volumes Imperial'!$F$4 &amp; "EC", Imperial_Incremental[#Headers], 0)), 0))</f>
        <v/>
      </c>
      <c r="E378" s="30"/>
      <c r="F378" s="30"/>
      <c r="G378" s="30" t="str">
        <f>IF(B378=0,"",IF('Cumulative Volumes Imperial'!$AQ$17=FALSE,I378,H378))</f>
        <v/>
      </c>
      <c r="H378" s="30"/>
      <c r="I378" s="30"/>
      <c r="J378" s="30" t="str">
        <f>IF(B378="","",IF('Cumulative Volumes Imperial'!$AQ$17=FALSE,L378,K378))</f>
        <v/>
      </c>
      <c r="K378" s="30"/>
      <c r="L378" s="30"/>
      <c r="M378" s="30" t="str">
        <f>IF($E$8+45+$E$9&gt;989,"FALSE",IF(B378="","",IF('Cumulative Volumes Imperial'!$AQ$17=FALSE,O378,N378)))</f>
        <v/>
      </c>
      <c r="N378" s="30"/>
      <c r="O378" s="30"/>
      <c r="P378" s="30" t="str">
        <f>IF(B378=0,"",(((1/12)*'Imperial Data'!$AC$4*'Imperial Data'!$AC$5)-C378)*$H$6)</f>
        <v/>
      </c>
      <c r="Q378" s="30"/>
      <c r="R378" s="30" t="str">
        <f>IF(B378=0,"",(((1/12)*'Imperial Data'!$AC$5*'Imperial Data'!$AC$7)-D378)*$H$6)</f>
        <v/>
      </c>
      <c r="S378" s="30"/>
      <c r="T378" s="30"/>
      <c r="U378" s="30"/>
      <c r="V378" s="30"/>
      <c r="W378" s="30" t="str">
        <f t="shared" si="66"/>
        <v/>
      </c>
      <c r="X378" s="31"/>
      <c r="Y378" s="30" t="str">
        <f t="shared" si="67"/>
        <v/>
      </c>
    </row>
    <row r="379" spans="2:25" x14ac:dyDescent="0.2">
      <c r="B379" s="34"/>
      <c r="C379" s="30" t="str">
        <f>IF(B379=0,"",IF('Imperial Data'!AG368&gt;=1, INDEX(Imperial_Incremental[], MATCH('Imperial Data'!AG368, Imperial_Incremental[Height], 1), MATCH('Cumulative Volumes Imperial'!$F$4, Imperial_Incremental[#Headers], 0)), 0))</f>
        <v/>
      </c>
      <c r="D379" s="30" t="str">
        <f>IF(B379=0,"",IF('Imperial Data'!AG368&gt;=1, INDEX(Imperial_Incremental[], MATCH('Imperial Data'!AG368, Imperial_Incremental[Height], 1), MATCH('Cumulative Volumes Imperial'!$F$4 &amp; "EC", Imperial_Incremental[#Headers], 0)), 0))</f>
        <v/>
      </c>
      <c r="E379" s="30"/>
      <c r="F379" s="30"/>
      <c r="G379" s="30" t="str">
        <f>IF(B379=0,"",IF('Cumulative Volumes Imperial'!$AQ$17=FALSE,I379,H379))</f>
        <v/>
      </c>
      <c r="H379" s="30"/>
      <c r="I379" s="30"/>
      <c r="J379" s="30" t="str">
        <f>IF(B379="","",IF('Cumulative Volumes Imperial'!$AQ$17=FALSE,L379,K379))</f>
        <v/>
      </c>
      <c r="K379" s="30"/>
      <c r="L379" s="30"/>
      <c r="M379" s="30" t="str">
        <f>IF($E$8+45+$E$9&gt;989,"FALSE",IF(B379="","",IF('Cumulative Volumes Imperial'!$AQ$17=FALSE,O379,N379)))</f>
        <v/>
      </c>
      <c r="N379" s="30"/>
      <c r="O379" s="30"/>
      <c r="P379" s="30" t="str">
        <f>IF(B379=0,"",(((1/12)*'Imperial Data'!$AC$4*'Imperial Data'!$AC$5)-C379)*$H$6)</f>
        <v/>
      </c>
      <c r="Q379" s="30"/>
      <c r="R379" s="30" t="str">
        <f>IF(B379=0,"",(((1/12)*'Imperial Data'!$AC$5*'Imperial Data'!$AC$7)-D379)*$H$6)</f>
        <v/>
      </c>
      <c r="S379" s="30"/>
      <c r="T379" s="30"/>
      <c r="U379" s="30"/>
      <c r="V379" s="30"/>
      <c r="W379" s="30" t="str">
        <f t="shared" si="66"/>
        <v/>
      </c>
      <c r="X379" s="31"/>
      <c r="Y379" s="30" t="str">
        <f t="shared" si="67"/>
        <v/>
      </c>
    </row>
    <row r="380" spans="2:25" x14ac:dyDescent="0.2">
      <c r="B380" s="34"/>
      <c r="C380" s="30" t="str">
        <f>IF(B380=0,"",IF('Imperial Data'!AG369&gt;=1, INDEX(Imperial_Incremental[], MATCH('Imperial Data'!AG369, Imperial_Incremental[Height], 1), MATCH('Cumulative Volumes Imperial'!$F$4, Imperial_Incremental[#Headers], 0)), 0))</f>
        <v/>
      </c>
      <c r="D380" s="30" t="str">
        <f>IF(B380=0,"",IF('Imperial Data'!AG369&gt;=1, INDEX(Imperial_Incremental[], MATCH('Imperial Data'!AG369, Imperial_Incremental[Height], 1), MATCH('Cumulative Volumes Imperial'!$F$4 &amp; "EC", Imperial_Incremental[#Headers], 0)), 0))</f>
        <v/>
      </c>
      <c r="E380" s="30"/>
      <c r="F380" s="30"/>
      <c r="G380" s="30" t="str">
        <f>IF(B380=0,"",IF('Cumulative Volumes Imperial'!$AQ$17=FALSE,I380,H380))</f>
        <v/>
      </c>
      <c r="H380" s="30"/>
      <c r="I380" s="30"/>
      <c r="J380" s="30" t="str">
        <f>IF(B380="","",IF('Cumulative Volumes Imperial'!$AQ$17=FALSE,L380,K380))</f>
        <v/>
      </c>
      <c r="K380" s="30"/>
      <c r="L380" s="30"/>
      <c r="M380" s="30" t="str">
        <f>IF($E$8+45+$E$9&gt;989,"FALSE",IF(B380="","",IF('Cumulative Volumes Imperial'!$AQ$17=FALSE,O380,N380)))</f>
        <v/>
      </c>
      <c r="N380" s="30"/>
      <c r="O380" s="30"/>
      <c r="P380" s="30" t="str">
        <f>IF(B380=0,"",(((1/12)*'Imperial Data'!$AC$4*'Imperial Data'!$AC$5)-C380)*$H$6)</f>
        <v/>
      </c>
      <c r="Q380" s="30"/>
      <c r="R380" s="30" t="str">
        <f>IF(B380=0,"",(((1/12)*'Imperial Data'!$AC$5*'Imperial Data'!$AC$7)-D380)*$H$6)</f>
        <v/>
      </c>
      <c r="S380" s="30"/>
      <c r="T380" s="30"/>
      <c r="U380" s="30"/>
      <c r="V380" s="30"/>
      <c r="W380" s="30" t="str">
        <f t="shared" si="66"/>
        <v/>
      </c>
      <c r="X380" s="31"/>
      <c r="Y380" s="30" t="str">
        <f t="shared" si="67"/>
        <v/>
      </c>
    </row>
    <row r="381" spans="2:25" x14ac:dyDescent="0.2">
      <c r="B381" s="34"/>
      <c r="C381" s="30" t="str">
        <f>IF(B381=0,"",IF('Imperial Data'!AG370&gt;=1, INDEX(Imperial_Incremental[], MATCH('Imperial Data'!AG370, Imperial_Incremental[Height], 1), MATCH('Cumulative Volumes Imperial'!$F$4, Imperial_Incremental[#Headers], 0)), 0))</f>
        <v/>
      </c>
      <c r="D381" s="30" t="str">
        <f>IF(B381=0,"",IF('Imperial Data'!AG370&gt;=1, INDEX(Imperial_Incremental[], MATCH('Imperial Data'!AG370, Imperial_Incremental[Height], 1), MATCH('Cumulative Volumes Imperial'!$F$4 &amp; "EC", Imperial_Incremental[#Headers], 0)), 0))</f>
        <v/>
      </c>
      <c r="E381" s="30"/>
      <c r="F381" s="30"/>
      <c r="G381" s="30" t="str">
        <f>IF(B381=0,"",IF('Cumulative Volumes Imperial'!$AQ$17=FALSE,I381,H381))</f>
        <v/>
      </c>
      <c r="H381" s="30"/>
      <c r="I381" s="30"/>
      <c r="J381" s="30" t="str">
        <f>IF(B381="","",IF('Cumulative Volumes Imperial'!$AQ$17=FALSE,L381,K381))</f>
        <v/>
      </c>
      <c r="K381" s="30"/>
      <c r="L381" s="30"/>
      <c r="M381" s="30" t="str">
        <f>IF($E$8+45+$E$9&gt;989,"FALSE",IF(B381="","",IF('Cumulative Volumes Imperial'!$AQ$17=FALSE,O381,N381)))</f>
        <v/>
      </c>
      <c r="N381" s="30"/>
      <c r="O381" s="30"/>
      <c r="P381" s="30" t="str">
        <f>IF(B381=0,"",(((1/12)*'Imperial Data'!$AC$4*'Imperial Data'!$AC$5)-C381)*$H$6)</f>
        <v/>
      </c>
      <c r="Q381" s="30"/>
      <c r="R381" s="30" t="str">
        <f>IF(B381=0,"",(((1/12)*'Imperial Data'!$AC$5*'Imperial Data'!$AC$7)-D381)*$H$6)</f>
        <v/>
      </c>
      <c r="S381" s="30"/>
      <c r="T381" s="30"/>
      <c r="U381" s="30"/>
      <c r="V381" s="30"/>
      <c r="W381" s="30" t="str">
        <f t="shared" si="66"/>
        <v/>
      </c>
      <c r="X381" s="31"/>
      <c r="Y381" s="30" t="str">
        <f t="shared" si="67"/>
        <v/>
      </c>
    </row>
    <row r="382" spans="2:25" x14ac:dyDescent="0.2">
      <c r="B382" s="34"/>
      <c r="C382" s="30" t="str">
        <f>IF(B382=0,"",IF('Imperial Data'!AG371&gt;=1, INDEX(Imperial_Incremental[], MATCH('Imperial Data'!AG371, Imperial_Incremental[Height], 1), MATCH('Cumulative Volumes Imperial'!$F$4, Imperial_Incremental[#Headers], 0)), 0))</f>
        <v/>
      </c>
      <c r="D382" s="30" t="str">
        <f>IF(B382=0,"",IF('Imperial Data'!AG371&gt;=1, INDEX(Imperial_Incremental[], MATCH('Imperial Data'!AG371, Imperial_Incremental[Height], 1), MATCH('Cumulative Volumes Imperial'!$F$4 &amp; "EC", Imperial_Incremental[#Headers], 0)), 0))</f>
        <v/>
      </c>
      <c r="E382" s="30"/>
      <c r="F382" s="30"/>
      <c r="G382" s="30" t="str">
        <f>IF(B382=0,"",IF('Cumulative Volumes Imperial'!$AQ$17=FALSE,I382,H382))</f>
        <v/>
      </c>
      <c r="H382" s="30"/>
      <c r="I382" s="30"/>
      <c r="J382" s="30" t="str">
        <f>IF(B382="","",IF('Cumulative Volumes Imperial'!$AQ$17=FALSE,L382,K382))</f>
        <v/>
      </c>
      <c r="K382" s="30"/>
      <c r="L382" s="30"/>
      <c r="M382" s="30" t="str">
        <f>IF($E$8+45+$E$9&gt;989,"FALSE",IF(B382="","",IF('Cumulative Volumes Imperial'!$AQ$17=FALSE,O382,N382)))</f>
        <v/>
      </c>
      <c r="N382" s="30"/>
      <c r="O382" s="30"/>
      <c r="P382" s="30" t="str">
        <f>IF(B382=0,"",(((1/12)*'Imperial Data'!$AC$4*'Imperial Data'!$AC$5)-C382)*$H$6)</f>
        <v/>
      </c>
      <c r="Q382" s="30"/>
      <c r="R382" s="30" t="str">
        <f>IF(B382=0,"",(((1/12)*'Imperial Data'!$AC$5*'Imperial Data'!$AC$7)-D382)*$H$6)</f>
        <v/>
      </c>
      <c r="S382" s="30"/>
      <c r="T382" s="30"/>
      <c r="U382" s="30"/>
      <c r="V382" s="30"/>
      <c r="W382" s="30" t="str">
        <f t="shared" si="66"/>
        <v/>
      </c>
      <c r="X382" s="31"/>
      <c r="Y382" s="30" t="str">
        <f t="shared" si="67"/>
        <v/>
      </c>
    </row>
    <row r="383" spans="2:25" x14ac:dyDescent="0.2">
      <c r="B383" s="34"/>
      <c r="C383" s="30" t="str">
        <f>IF(B383=0,"",IF('Imperial Data'!AG372&gt;=1, INDEX(Imperial_Incremental[], MATCH('Imperial Data'!AG372, Imperial_Incremental[Height], 1), MATCH('Cumulative Volumes Imperial'!$F$4, Imperial_Incremental[#Headers], 0)), 0))</f>
        <v/>
      </c>
      <c r="D383" s="30" t="str">
        <f>IF(B383=0,"",IF('Imperial Data'!AG372&gt;=1, INDEX(Imperial_Incremental[], MATCH('Imperial Data'!AG372, Imperial_Incremental[Height], 1), MATCH('Cumulative Volumes Imperial'!$F$4 &amp; "EC", Imperial_Incremental[#Headers], 0)), 0))</f>
        <v/>
      </c>
      <c r="E383" s="30"/>
      <c r="F383" s="30"/>
      <c r="G383" s="30" t="str">
        <f>IF(B383=0,"",IF('Cumulative Volumes Imperial'!$AQ$17=FALSE,I383,H383))</f>
        <v/>
      </c>
      <c r="H383" s="30"/>
      <c r="I383" s="30"/>
      <c r="J383" s="30" t="str">
        <f>IF(B383="","",IF('Cumulative Volumes Imperial'!$AQ$17=FALSE,L383,K383))</f>
        <v/>
      </c>
      <c r="K383" s="30"/>
      <c r="L383" s="30"/>
      <c r="M383" s="30" t="str">
        <f>IF($E$8+45+$E$9&gt;989,"FALSE",IF(B383="","",IF('Cumulative Volumes Imperial'!$AQ$17=FALSE,O383,N383)))</f>
        <v/>
      </c>
      <c r="N383" s="30"/>
      <c r="O383" s="30"/>
      <c r="P383" s="30" t="str">
        <f>IF(B383=0,"",(((1/12)*'Imperial Data'!$AC$4*'Imperial Data'!$AC$5)-C383)*$H$6)</f>
        <v/>
      </c>
      <c r="Q383" s="30"/>
      <c r="R383" s="30" t="str">
        <f>IF(B383=0,"",(((1/12)*'Imperial Data'!$AC$5*'Imperial Data'!$AC$7)-D383)*$H$6)</f>
        <v/>
      </c>
      <c r="S383" s="30"/>
      <c r="T383" s="30"/>
      <c r="U383" s="30"/>
      <c r="V383" s="30"/>
      <c r="W383" s="30" t="str">
        <f t="shared" si="66"/>
        <v/>
      </c>
      <c r="X383" s="31"/>
      <c r="Y383" s="30" t="str">
        <f t="shared" si="67"/>
        <v/>
      </c>
    </row>
    <row r="384" spans="2:25" x14ac:dyDescent="0.2">
      <c r="B384" s="34"/>
      <c r="C384" s="30" t="str">
        <f>IF(B384=0,"",IF('Imperial Data'!AG373&gt;=1, INDEX(Imperial_Incremental[], MATCH('Imperial Data'!AG373, Imperial_Incremental[Height], 1), MATCH('Cumulative Volumes Imperial'!$F$4, Imperial_Incremental[#Headers], 0)), 0))</f>
        <v/>
      </c>
      <c r="D384" s="30" t="str">
        <f>IF(B384=0,"",IF('Imperial Data'!AG373&gt;=1, INDEX(Imperial_Incremental[], MATCH('Imperial Data'!AG373, Imperial_Incremental[Height], 1), MATCH('Cumulative Volumes Imperial'!$F$4 &amp; "EC", Imperial_Incremental[#Headers], 0)), 0))</f>
        <v/>
      </c>
      <c r="E384" s="30"/>
      <c r="F384" s="30"/>
      <c r="G384" s="30" t="str">
        <f>IF(B384=0,"",IF('Cumulative Volumes Imperial'!$AQ$17=FALSE,I384,H384))</f>
        <v/>
      </c>
      <c r="H384" s="30"/>
      <c r="I384" s="30"/>
      <c r="J384" s="30" t="str">
        <f>IF(B384="","",IF('Cumulative Volumes Imperial'!$AQ$17=FALSE,L384,K384))</f>
        <v/>
      </c>
      <c r="K384" s="30"/>
      <c r="L384" s="30"/>
      <c r="M384" s="30" t="str">
        <f>IF($E$8+45+$E$9&gt;989,"FALSE",IF(B384="","",IF('Cumulative Volumes Imperial'!$AQ$17=FALSE,O384,N384)))</f>
        <v/>
      </c>
      <c r="N384" s="30"/>
      <c r="O384" s="30"/>
      <c r="P384" s="30" t="str">
        <f>IF(B384=0,"",(((1/12)*'Imperial Data'!$AC$4*'Imperial Data'!$AC$5)-C384)*$H$6)</f>
        <v/>
      </c>
      <c r="Q384" s="30"/>
      <c r="R384" s="30" t="str">
        <f>IF(B384=0,"",(((1/12)*'Imperial Data'!$AC$5*'Imperial Data'!$AC$7)-D384)*$H$6)</f>
        <v/>
      </c>
      <c r="S384" s="30"/>
      <c r="T384" s="30"/>
      <c r="U384" s="30"/>
      <c r="V384" s="30"/>
      <c r="W384" s="30" t="str">
        <f t="shared" si="66"/>
        <v/>
      </c>
      <c r="X384" s="31"/>
      <c r="Y384" s="30" t="str">
        <f t="shared" si="67"/>
        <v/>
      </c>
    </row>
    <row r="385" spans="2:25" x14ac:dyDescent="0.2">
      <c r="B385" s="34"/>
      <c r="C385" s="30" t="str">
        <f>IF(B385=0,"",IF('Imperial Data'!AG374&gt;=1, INDEX(Imperial_Incremental[], MATCH('Imperial Data'!AG374, Imperial_Incremental[Height], 1), MATCH('Cumulative Volumes Imperial'!$F$4, Imperial_Incremental[#Headers], 0)), 0))</f>
        <v/>
      </c>
      <c r="D385" s="30" t="str">
        <f>IF(B385=0,"",IF('Imperial Data'!AG374&gt;=1, INDEX(Imperial_Incremental[], MATCH('Imperial Data'!AG374, Imperial_Incremental[Height], 1), MATCH('Cumulative Volumes Imperial'!$F$4 &amp; "EC", Imperial_Incremental[#Headers], 0)), 0))</f>
        <v/>
      </c>
      <c r="E385" s="30"/>
      <c r="F385" s="30"/>
      <c r="G385" s="30" t="str">
        <f>IF(B385=0,"",IF('Cumulative Volumes Imperial'!$AQ$17=FALSE,I385,H385))</f>
        <v/>
      </c>
      <c r="H385" s="30"/>
      <c r="I385" s="30"/>
      <c r="J385" s="30" t="str">
        <f>IF(B385="","",IF('Cumulative Volumes Imperial'!$AQ$17=FALSE,L385,K385))</f>
        <v/>
      </c>
      <c r="K385" s="30"/>
      <c r="L385" s="30"/>
      <c r="M385" s="30" t="str">
        <f>IF($E$8+45+$E$9&gt;989,"FALSE",IF(B385="","",IF('Cumulative Volumes Imperial'!$AQ$17=FALSE,O385,N385)))</f>
        <v/>
      </c>
      <c r="N385" s="30"/>
      <c r="O385" s="30"/>
      <c r="P385" s="30" t="str">
        <f>IF(B385=0,"",(((1/12)*'Imperial Data'!$AC$4*'Imperial Data'!$AC$5)-C385)*$H$6)</f>
        <v/>
      </c>
      <c r="Q385" s="30"/>
      <c r="R385" s="30" t="str">
        <f>IF(B385=0,"",(((1/12)*'Imperial Data'!$AC$5*'Imperial Data'!$AC$7)-D385)*$H$6)</f>
        <v/>
      </c>
      <c r="S385" s="30"/>
      <c r="T385" s="30"/>
      <c r="U385" s="30"/>
      <c r="V385" s="30"/>
      <c r="W385" s="30" t="str">
        <f t="shared" si="66"/>
        <v/>
      </c>
      <c r="X385" s="31"/>
      <c r="Y385" s="30" t="str">
        <f t="shared" si="67"/>
        <v/>
      </c>
    </row>
    <row r="386" spans="2:25" x14ac:dyDescent="0.2">
      <c r="B386" s="34"/>
      <c r="C386" s="30" t="str">
        <f>IF(B386=0,"",IF('Imperial Data'!AG375&gt;=1, INDEX(Imperial_Incremental[], MATCH('Imperial Data'!AG375, Imperial_Incremental[Height], 1), MATCH('Cumulative Volumes Imperial'!$F$4, Imperial_Incremental[#Headers], 0)), 0))</f>
        <v/>
      </c>
      <c r="D386" s="30" t="str">
        <f>IF(B386=0,"",IF('Imperial Data'!AG375&gt;=1, INDEX(Imperial_Incremental[], MATCH('Imperial Data'!AG375, Imperial_Incremental[Height], 1), MATCH('Cumulative Volumes Imperial'!$F$4 &amp; "EC", Imperial_Incremental[#Headers], 0)), 0))</f>
        <v/>
      </c>
      <c r="E386" s="30"/>
      <c r="F386" s="30"/>
      <c r="G386" s="30" t="str">
        <f>IF(B386=0,"",IF('Cumulative Volumes Imperial'!$AQ$17=FALSE,I386,H386))</f>
        <v/>
      </c>
      <c r="H386" s="30"/>
      <c r="I386" s="30"/>
      <c r="J386" s="30" t="str">
        <f>IF(B386="","",IF('Cumulative Volumes Imperial'!$AQ$17=FALSE,L386,K386))</f>
        <v/>
      </c>
      <c r="K386" s="30"/>
      <c r="L386" s="30"/>
      <c r="M386" s="30" t="str">
        <f>IF($E$8+45+$E$9&gt;989,"FALSE",IF(B386="","",IF('Cumulative Volumes Imperial'!$AQ$17=FALSE,O386,N386)))</f>
        <v/>
      </c>
      <c r="N386" s="30"/>
      <c r="O386" s="30"/>
      <c r="P386" s="30" t="str">
        <f>IF(B386=0,"",(((1/12)*'Imperial Data'!$AC$4*'Imperial Data'!$AC$5)-C386)*$H$6)</f>
        <v/>
      </c>
      <c r="Q386" s="30"/>
      <c r="R386" s="30" t="str">
        <f>IF(B386=0,"",(((1/12)*'Imperial Data'!$AC$5*'Imperial Data'!$AC$7)-D386)*$H$6)</f>
        <v/>
      </c>
      <c r="S386" s="30"/>
      <c r="T386" s="30"/>
      <c r="U386" s="30"/>
      <c r="V386" s="30"/>
      <c r="W386" s="30" t="str">
        <f t="shared" si="66"/>
        <v/>
      </c>
      <c r="X386" s="31"/>
      <c r="Y386" s="30" t="str">
        <f t="shared" si="67"/>
        <v/>
      </c>
    </row>
    <row r="387" spans="2:25" x14ac:dyDescent="0.2">
      <c r="B387" s="34"/>
      <c r="C387" s="30" t="str">
        <f>IF(B387=0,"",IF('Imperial Data'!AG376&gt;=1, INDEX(Imperial_Incremental[], MATCH('Imperial Data'!AG376, Imperial_Incremental[Height], 1), MATCH('Cumulative Volumes Imperial'!$F$4, Imperial_Incremental[#Headers], 0)), 0))</f>
        <v/>
      </c>
      <c r="D387" s="30" t="str">
        <f>IF(B387=0,"",IF('Imperial Data'!AG376&gt;=1, INDEX(Imperial_Incremental[], MATCH('Imperial Data'!AG376, Imperial_Incremental[Height], 1), MATCH('Cumulative Volumes Imperial'!$F$4 &amp; "EC", Imperial_Incremental[#Headers], 0)), 0))</f>
        <v/>
      </c>
      <c r="E387" s="30"/>
      <c r="F387" s="30"/>
      <c r="G387" s="30" t="str">
        <f>IF(B387=0,"",IF('Cumulative Volumes Imperial'!$AQ$17=FALSE,I387,H387))</f>
        <v/>
      </c>
      <c r="H387" s="30"/>
      <c r="I387" s="30"/>
      <c r="J387" s="30" t="str">
        <f>IF(B387="","",IF('Cumulative Volumes Imperial'!$AQ$17=FALSE,L387,K387))</f>
        <v/>
      </c>
      <c r="K387" s="30"/>
      <c r="L387" s="30"/>
      <c r="M387" s="30" t="str">
        <f>IF($E$8+45+$E$9&gt;989,"FALSE",IF(B387="","",IF('Cumulative Volumes Imperial'!$AQ$17=FALSE,O387,N387)))</f>
        <v/>
      </c>
      <c r="N387" s="30"/>
      <c r="O387" s="30"/>
      <c r="P387" s="30" t="str">
        <f>IF(B387=0,"",(((1/12)*'Imperial Data'!$AC$4*'Imperial Data'!$AC$5)-C387)*$H$6)</f>
        <v/>
      </c>
      <c r="Q387" s="30"/>
      <c r="R387" s="30" t="str">
        <f>IF(B387=0,"",(((1/12)*'Imperial Data'!$AC$5*'Imperial Data'!$AC$7)-D387)*$H$6)</f>
        <v/>
      </c>
      <c r="S387" s="30"/>
      <c r="T387" s="30"/>
      <c r="U387" s="30"/>
      <c r="V387" s="30"/>
      <c r="W387" s="30" t="str">
        <f t="shared" si="66"/>
        <v/>
      </c>
      <c r="X387" s="31"/>
      <c r="Y387" s="30" t="str">
        <f t="shared" si="67"/>
        <v/>
      </c>
    </row>
    <row r="388" spans="2:25" x14ac:dyDescent="0.2">
      <c r="B388" s="34"/>
      <c r="C388" s="30" t="str">
        <f>IF(B388=0,"",IF('Imperial Data'!AG377&gt;=1, INDEX(Imperial_Incremental[], MATCH('Imperial Data'!AG377, Imperial_Incremental[Height], 1), MATCH('Cumulative Volumes Imperial'!$F$4, Imperial_Incremental[#Headers], 0)), 0))</f>
        <v/>
      </c>
      <c r="D388" s="30" t="str">
        <f>IF(B388=0,"",IF('Imperial Data'!AG377&gt;=1, INDEX(Imperial_Incremental[], MATCH('Imperial Data'!AG377, Imperial_Incremental[Height], 1), MATCH('Cumulative Volumes Imperial'!$F$4 &amp; "EC", Imperial_Incremental[#Headers], 0)), 0))</f>
        <v/>
      </c>
      <c r="E388" s="30"/>
      <c r="F388" s="30"/>
      <c r="G388" s="30" t="str">
        <f>IF(B388=0,"",IF('Cumulative Volumes Imperial'!$AQ$17=FALSE,I388,H388))</f>
        <v/>
      </c>
      <c r="H388" s="30"/>
      <c r="I388" s="30"/>
      <c r="J388" s="30" t="str">
        <f>IF(B388="","",IF('Cumulative Volumes Imperial'!$AQ$17=FALSE,L388,K388))</f>
        <v/>
      </c>
      <c r="K388" s="30"/>
      <c r="L388" s="30"/>
      <c r="M388" s="30" t="str">
        <f>IF($E$8+45+$E$9&gt;989,"FALSE",IF(B388="","",IF('Cumulative Volumes Imperial'!$AQ$17=FALSE,O388,N388)))</f>
        <v/>
      </c>
      <c r="N388" s="30"/>
      <c r="O388" s="30"/>
      <c r="P388" s="30" t="str">
        <f>IF(B388=0,"",(((1/12)*'Imperial Data'!$AC$4*'Imperial Data'!$AC$5)-C388)*$H$6)</f>
        <v/>
      </c>
      <c r="Q388" s="30"/>
      <c r="R388" s="30" t="str">
        <f>IF(B388=0,"",(((1/12)*'Imperial Data'!$AC$5*'Imperial Data'!$AC$7)-D388)*$H$6)</f>
        <v/>
      </c>
      <c r="S388" s="30"/>
      <c r="T388" s="30"/>
      <c r="U388" s="30"/>
      <c r="V388" s="30"/>
      <c r="W388" s="30" t="str">
        <f t="shared" si="66"/>
        <v/>
      </c>
      <c r="X388" s="31"/>
      <c r="Y388" s="30" t="str">
        <f t="shared" si="67"/>
        <v/>
      </c>
    </row>
    <row r="389" spans="2:25" x14ac:dyDescent="0.2">
      <c r="B389" s="34"/>
      <c r="C389" s="30" t="str">
        <f>IF(B389=0,"",IF('Imperial Data'!AG378&gt;=1, INDEX(Imperial_Incremental[], MATCH('Imperial Data'!AG378, Imperial_Incremental[Height], 1), MATCH('Cumulative Volumes Imperial'!$F$4, Imperial_Incremental[#Headers], 0)), 0))</f>
        <v/>
      </c>
      <c r="D389" s="30" t="str">
        <f>IF(B389=0,"",IF('Imperial Data'!AG378&gt;=1, INDEX(Imperial_Incremental[], MATCH('Imperial Data'!AG378, Imperial_Incremental[Height], 1), MATCH('Cumulative Volumes Imperial'!$F$4 &amp; "EC", Imperial_Incremental[#Headers], 0)), 0))</f>
        <v/>
      </c>
      <c r="E389" s="30"/>
      <c r="F389" s="30"/>
      <c r="G389" s="30" t="str">
        <f>IF(B389=0,"",IF('Cumulative Volumes Imperial'!$AQ$17=FALSE,I389,H389))</f>
        <v/>
      </c>
      <c r="H389" s="30"/>
      <c r="I389" s="30"/>
      <c r="J389" s="30" t="str">
        <f>IF(B389="","",IF('Cumulative Volumes Imperial'!$AQ$17=FALSE,L389,K389))</f>
        <v/>
      </c>
      <c r="K389" s="30"/>
      <c r="L389" s="30"/>
      <c r="M389" s="30" t="str">
        <f>IF($E$8+45+$E$9&gt;989,"FALSE",IF(B389="","",IF('Cumulative Volumes Imperial'!$AQ$17=FALSE,O389,N389)))</f>
        <v/>
      </c>
      <c r="N389" s="30"/>
      <c r="O389" s="30"/>
      <c r="P389" s="30" t="str">
        <f>IF(B389=0,"",(((1/12)*'Imperial Data'!$AC$4*'Imperial Data'!$AC$5)-C389)*$H$6)</f>
        <v/>
      </c>
      <c r="Q389" s="30"/>
      <c r="R389" s="30" t="str">
        <f>IF(B389=0,"",(((1/12)*'Imperial Data'!$AC$5*'Imperial Data'!$AC$7)-D389)*$H$6)</f>
        <v/>
      </c>
      <c r="S389" s="30"/>
      <c r="T389" s="30"/>
      <c r="U389" s="30"/>
      <c r="V389" s="30"/>
      <c r="W389" s="30" t="str">
        <f t="shared" si="66"/>
        <v/>
      </c>
      <c r="X389" s="31"/>
      <c r="Y389" s="30" t="str">
        <f t="shared" si="67"/>
        <v/>
      </c>
    </row>
    <row r="390" spans="2:25" x14ac:dyDescent="0.2">
      <c r="B390" s="34"/>
      <c r="C390" s="30" t="str">
        <f>IF(B390=0,"",IF('Imperial Data'!AG379&gt;=1, INDEX(Imperial_Incremental[], MATCH('Imperial Data'!AG379, Imperial_Incremental[Height], 1), MATCH('Cumulative Volumes Imperial'!$F$4, Imperial_Incremental[#Headers], 0)), 0))</f>
        <v/>
      </c>
      <c r="D390" s="30" t="str">
        <f>IF(B390=0,"",IF('Imperial Data'!AG379&gt;=1, INDEX(Imperial_Incremental[], MATCH('Imperial Data'!AG379, Imperial_Incremental[Height], 1), MATCH('Cumulative Volumes Imperial'!$F$4 &amp; "EC", Imperial_Incremental[#Headers], 0)), 0))</f>
        <v/>
      </c>
      <c r="E390" s="30"/>
      <c r="F390" s="30"/>
      <c r="G390" s="30" t="str">
        <f>IF(B390=0,"",IF('Cumulative Volumes Imperial'!$AQ$17=FALSE,I390,H390))</f>
        <v/>
      </c>
      <c r="H390" s="30"/>
      <c r="I390" s="30"/>
      <c r="J390" s="30" t="str">
        <f>IF(B390="","",IF('Cumulative Volumes Imperial'!$AQ$17=FALSE,L390,K390))</f>
        <v/>
      </c>
      <c r="K390" s="30"/>
      <c r="L390" s="30"/>
      <c r="M390" s="30" t="str">
        <f>IF($E$8+45+$E$9&gt;989,"FALSE",IF(B390="","",IF('Cumulative Volumes Imperial'!$AQ$17=FALSE,O390,N390)))</f>
        <v/>
      </c>
      <c r="N390" s="30"/>
      <c r="O390" s="30"/>
      <c r="P390" s="30" t="str">
        <f>IF(B390=0,"",(((1/12)*'Imperial Data'!$AC$4*'Imperial Data'!$AC$5)-C390)*$H$6)</f>
        <v/>
      </c>
      <c r="Q390" s="30"/>
      <c r="R390" s="30" t="str">
        <f>IF(B390=0,"",(((1/12)*'Imperial Data'!$AC$5*'Imperial Data'!$AC$7)-D390)*$H$6)</f>
        <v/>
      </c>
      <c r="S390" s="30"/>
      <c r="T390" s="30"/>
      <c r="U390" s="30"/>
      <c r="V390" s="30"/>
      <c r="W390" s="30" t="str">
        <f t="shared" si="66"/>
        <v/>
      </c>
      <c r="X390" s="31"/>
      <c r="Y390" s="30" t="str">
        <f t="shared" si="67"/>
        <v/>
      </c>
    </row>
    <row r="391" spans="2:25" x14ac:dyDescent="0.2">
      <c r="B391" s="34"/>
      <c r="C391" s="30" t="str">
        <f>IF(B391=0,"",IF('Imperial Data'!AG380&gt;=1, INDEX(Imperial_Incremental[], MATCH('Imperial Data'!AG380, Imperial_Incremental[Height], 1), MATCH('Cumulative Volumes Imperial'!$F$4, Imperial_Incremental[#Headers], 0)), 0))</f>
        <v/>
      </c>
      <c r="D391" s="30" t="str">
        <f>IF(B391=0,"",IF('Imperial Data'!AG380&gt;=1, INDEX(Imperial_Incremental[], MATCH('Imperial Data'!AG380, Imperial_Incremental[Height], 1), MATCH('Cumulative Volumes Imperial'!$F$4 &amp; "EC", Imperial_Incremental[#Headers], 0)), 0))</f>
        <v/>
      </c>
      <c r="E391" s="30"/>
      <c r="F391" s="30"/>
      <c r="G391" s="30" t="str">
        <f>IF(B391=0,"",IF('Cumulative Volumes Imperial'!$AQ$17=FALSE,I391,H391))</f>
        <v/>
      </c>
      <c r="H391" s="30"/>
      <c r="I391" s="30"/>
      <c r="J391" s="30" t="str">
        <f>IF(B391="","",IF('Cumulative Volumes Imperial'!$AQ$17=FALSE,L391,K391))</f>
        <v/>
      </c>
      <c r="K391" s="30"/>
      <c r="L391" s="30"/>
      <c r="M391" s="30" t="str">
        <f>IF($E$8+45+$E$9&gt;989,"FALSE",IF(B391="","",IF('Cumulative Volumes Imperial'!$AQ$17=FALSE,O391,N391)))</f>
        <v/>
      </c>
      <c r="N391" s="30"/>
      <c r="O391" s="30"/>
      <c r="P391" s="30" t="str">
        <f>IF(B391=0,"",(((1/12)*'Imperial Data'!$AC$4*'Imperial Data'!$AC$5)-C391)*$H$6)</f>
        <v/>
      </c>
      <c r="Q391" s="30"/>
      <c r="R391" s="30" t="str">
        <f>IF(B391=0,"",(((1/12)*'Imperial Data'!$AC$5*'Imperial Data'!$AC$7)-D391)*$H$6)</f>
        <v/>
      </c>
      <c r="S391" s="30"/>
      <c r="T391" s="30"/>
      <c r="U391" s="30"/>
      <c r="V391" s="30"/>
      <c r="W391" s="30" t="str">
        <f t="shared" si="66"/>
        <v/>
      </c>
      <c r="X391" s="31"/>
      <c r="Y391" s="30" t="str">
        <f t="shared" si="67"/>
        <v/>
      </c>
    </row>
    <row r="392" spans="2:25" x14ac:dyDescent="0.2">
      <c r="B392" s="34"/>
      <c r="C392" s="30" t="str">
        <f>IF(B392=0,"",IF('Imperial Data'!AG381&gt;=1, INDEX(Imperial_Incremental[], MATCH('Imperial Data'!AG381, Imperial_Incremental[Height], 1), MATCH('Cumulative Volumes Imperial'!$F$4, Imperial_Incremental[#Headers], 0)), 0))</f>
        <v/>
      </c>
      <c r="D392" s="30" t="str">
        <f>IF(B392=0,"",IF('Imperial Data'!AG381&gt;=1, INDEX(Imperial_Incremental[], MATCH('Imperial Data'!AG381, Imperial_Incremental[Height], 1), MATCH('Cumulative Volumes Imperial'!$F$4 &amp; "EC", Imperial_Incremental[#Headers], 0)), 0))</f>
        <v/>
      </c>
      <c r="E392" s="30"/>
      <c r="F392" s="30"/>
      <c r="G392" s="30" t="str">
        <f>IF(B392=0,"",IF('Cumulative Volumes Imperial'!$AQ$17=FALSE,I392,H392))</f>
        <v/>
      </c>
      <c r="H392" s="30"/>
      <c r="I392" s="30"/>
      <c r="J392" s="30" t="str">
        <f>IF(B392="","",IF('Cumulative Volumes Imperial'!$AQ$17=FALSE,L392,K392))</f>
        <v/>
      </c>
      <c r="K392" s="30"/>
      <c r="L392" s="30"/>
      <c r="M392" s="30" t="str">
        <f>IF($E$8+45+$E$9&gt;989,"FALSE",IF(B392="","",IF('Cumulative Volumes Imperial'!$AQ$17=FALSE,O392,N392)))</f>
        <v/>
      </c>
      <c r="N392" s="30"/>
      <c r="O392" s="30"/>
      <c r="P392" s="30" t="str">
        <f>IF(B392=0,"",(((1/12)*'Imperial Data'!$AC$4*'Imperial Data'!$AC$5)-C392)*$H$6)</f>
        <v/>
      </c>
      <c r="Q392" s="30"/>
      <c r="R392" s="30" t="str">
        <f>IF(B392=0,"",(((1/12)*'Imperial Data'!$AC$5*'Imperial Data'!$AC$7)-D392)*$H$6)</f>
        <v/>
      </c>
      <c r="S392" s="30"/>
      <c r="T392" s="30"/>
      <c r="U392" s="30"/>
      <c r="V392" s="30"/>
      <c r="W392" s="30" t="str">
        <f t="shared" si="66"/>
        <v/>
      </c>
      <c r="X392" s="31"/>
      <c r="Y392" s="30" t="str">
        <f t="shared" si="67"/>
        <v/>
      </c>
    </row>
    <row r="393" spans="2:25" x14ac:dyDescent="0.2">
      <c r="B393" s="34"/>
      <c r="C393" s="30" t="str">
        <f>IF(B393=0,"",IF('Imperial Data'!AG382&gt;=1, INDEX(Imperial_Incremental[], MATCH('Imperial Data'!AG382, Imperial_Incremental[Height], 1), MATCH('Cumulative Volumes Imperial'!$F$4, Imperial_Incremental[#Headers], 0)), 0))</f>
        <v/>
      </c>
      <c r="D393" s="30" t="str">
        <f>IF(B393=0,"",IF('Imperial Data'!AG382&gt;=1, INDEX(Imperial_Incremental[], MATCH('Imperial Data'!AG382, Imperial_Incremental[Height], 1), MATCH('Cumulative Volumes Imperial'!$F$4 &amp; "EC", Imperial_Incremental[#Headers], 0)), 0))</f>
        <v/>
      </c>
      <c r="E393" s="30"/>
      <c r="F393" s="30"/>
      <c r="G393" s="30" t="str">
        <f>IF(B393=0,"",IF('Cumulative Volumes Imperial'!$AQ$17=FALSE,I393,H393))</f>
        <v/>
      </c>
      <c r="H393" s="30"/>
      <c r="I393" s="30"/>
      <c r="J393" s="30" t="str">
        <f>IF(B393="","",IF('Cumulative Volumes Imperial'!$AQ$17=FALSE,L393,K393))</f>
        <v/>
      </c>
      <c r="K393" s="30"/>
      <c r="L393" s="30"/>
      <c r="M393" s="30" t="str">
        <f>IF($E$8+45+$E$9&gt;989,"FALSE",IF(B393="","",IF('Cumulative Volumes Imperial'!$AQ$17=FALSE,O393,N393)))</f>
        <v/>
      </c>
      <c r="N393" s="30"/>
      <c r="O393" s="30"/>
      <c r="P393" s="30" t="str">
        <f>IF(B393=0,"",(((1/12)*'Imperial Data'!$AC$4*'Imperial Data'!$AC$5)-C393)*$H$6)</f>
        <v/>
      </c>
      <c r="Q393" s="30"/>
      <c r="R393" s="30" t="str">
        <f>IF(B393=0,"",(((1/12)*'Imperial Data'!$AC$5*'Imperial Data'!$AC$7)-D393)*$H$6)</f>
        <v/>
      </c>
      <c r="S393" s="30"/>
      <c r="T393" s="30"/>
      <c r="U393" s="30"/>
      <c r="V393" s="30"/>
      <c r="W393" s="30" t="str">
        <f t="shared" si="66"/>
        <v/>
      </c>
      <c r="X393" s="31"/>
      <c r="Y393" s="30" t="str">
        <f t="shared" si="67"/>
        <v/>
      </c>
    </row>
    <row r="394" spans="2:25" x14ac:dyDescent="0.2">
      <c r="B394" s="34"/>
      <c r="C394" s="30" t="str">
        <f>IF(B394=0,"",IF('Imperial Data'!AG383&gt;=1, INDEX(Imperial_Incremental[], MATCH('Imperial Data'!AG383, Imperial_Incremental[Height], 1), MATCH('Cumulative Volumes Imperial'!$F$4, Imperial_Incremental[#Headers], 0)), 0))</f>
        <v/>
      </c>
      <c r="D394" s="30" t="str">
        <f>IF(B394=0,"",IF('Imperial Data'!AG383&gt;=1, INDEX(Imperial_Incremental[], MATCH('Imperial Data'!AG383, Imperial_Incremental[Height], 1), MATCH('Cumulative Volumes Imperial'!$F$4 &amp; "EC", Imperial_Incremental[#Headers], 0)), 0))</f>
        <v/>
      </c>
      <c r="E394" s="30"/>
      <c r="F394" s="30"/>
      <c r="G394" s="30" t="str">
        <f>IF(B394=0,"",IF('Cumulative Volumes Imperial'!$AQ$17=FALSE,I394,H394))</f>
        <v/>
      </c>
      <c r="H394" s="30"/>
      <c r="I394" s="30"/>
      <c r="J394" s="30" t="str">
        <f>IF(B394="","",IF('Cumulative Volumes Imperial'!$AQ$17=FALSE,L394,K394))</f>
        <v/>
      </c>
      <c r="K394" s="30"/>
      <c r="L394" s="30"/>
      <c r="M394" s="30" t="str">
        <f>IF($E$8+45+$E$9&gt;989,"FALSE",IF(B394="","",IF('Cumulative Volumes Imperial'!$AQ$17=FALSE,O394,N394)))</f>
        <v/>
      </c>
      <c r="N394" s="30"/>
      <c r="O394" s="30"/>
      <c r="P394" s="30" t="str">
        <f>IF(B394=0,"",(((1/12)*'Imperial Data'!$AC$4*'Imperial Data'!$AC$5)-C394)*$H$6)</f>
        <v/>
      </c>
      <c r="Q394" s="30"/>
      <c r="R394" s="30" t="str">
        <f>IF(B394=0,"",(((1/12)*'Imperial Data'!$AC$5*'Imperial Data'!$AC$7)-D394)*$H$6)</f>
        <v/>
      </c>
      <c r="S394" s="30"/>
      <c r="T394" s="30"/>
      <c r="U394" s="30"/>
      <c r="V394" s="30"/>
      <c r="W394" s="30" t="str">
        <f t="shared" si="66"/>
        <v/>
      </c>
      <c r="X394" s="31"/>
      <c r="Y394" s="30" t="str">
        <f t="shared" si="67"/>
        <v/>
      </c>
    </row>
    <row r="395" spans="2:25" x14ac:dyDescent="0.2">
      <c r="B395" s="34"/>
      <c r="C395" s="30" t="str">
        <f>IF(B395=0,"",IF('Imperial Data'!AG384&gt;=1, INDEX(Imperial_Incremental[], MATCH('Imperial Data'!AG384, Imperial_Incremental[Height], 1), MATCH('Cumulative Volumes Imperial'!$F$4, Imperial_Incremental[#Headers], 0)), 0))</f>
        <v/>
      </c>
      <c r="D395" s="30" t="str">
        <f>IF(B395=0,"",IF('Imperial Data'!AG384&gt;=1, INDEX(Imperial_Incremental[], MATCH('Imperial Data'!AG384, Imperial_Incremental[Height], 1), MATCH('Cumulative Volumes Imperial'!$F$4 &amp; "EC", Imperial_Incremental[#Headers], 0)), 0))</f>
        <v/>
      </c>
      <c r="E395" s="30"/>
      <c r="F395" s="30"/>
      <c r="G395" s="30" t="str">
        <f>IF(B395=0,"",IF('Cumulative Volumes Imperial'!$AQ$17=FALSE,I395,H395))</f>
        <v/>
      </c>
      <c r="H395" s="30"/>
      <c r="I395" s="30"/>
      <c r="J395" s="30" t="str">
        <f>IF(B395="","",IF('Cumulative Volumes Imperial'!$AQ$17=FALSE,L395,K395))</f>
        <v/>
      </c>
      <c r="K395" s="30"/>
      <c r="L395" s="30"/>
      <c r="M395" s="30" t="str">
        <f>IF($E$8+45+$E$9&gt;989,"FALSE",IF(B395="","",IF('Cumulative Volumes Imperial'!$AQ$17=FALSE,O395,N395)))</f>
        <v/>
      </c>
      <c r="N395" s="30"/>
      <c r="O395" s="30"/>
      <c r="P395" s="30" t="str">
        <f>IF(B395=0,"",(((1/12)*'Imperial Data'!$AC$4*'Imperial Data'!$AC$5)-C395)*$H$6)</f>
        <v/>
      </c>
      <c r="Q395" s="30"/>
      <c r="R395" s="30" t="str">
        <f>IF(B395=0,"",(((1/12)*'Imperial Data'!$AC$5*'Imperial Data'!$AC$7)-D395)*$H$6)</f>
        <v/>
      </c>
      <c r="S395" s="30"/>
      <c r="T395" s="30"/>
      <c r="U395" s="30"/>
      <c r="V395" s="30"/>
      <c r="W395" s="30" t="str">
        <f t="shared" si="66"/>
        <v/>
      </c>
      <c r="X395" s="31"/>
      <c r="Y395" s="30" t="str">
        <f t="shared" si="67"/>
        <v/>
      </c>
    </row>
    <row r="396" spans="2:25" x14ac:dyDescent="0.2">
      <c r="B396" s="34"/>
      <c r="C396" s="30" t="str">
        <f>IF(B396=0,"",IF('Imperial Data'!AG385&gt;=1, INDEX(Imperial_Incremental[], MATCH('Imperial Data'!AG385, Imperial_Incremental[Height], 1), MATCH('Cumulative Volumes Imperial'!$F$4, Imperial_Incremental[#Headers], 0)), 0))</f>
        <v/>
      </c>
      <c r="D396" s="30" t="str">
        <f>IF(B396=0,"",IF('Imperial Data'!AG385&gt;=1, INDEX(Imperial_Incremental[], MATCH('Imperial Data'!AG385, Imperial_Incremental[Height], 1), MATCH('Cumulative Volumes Imperial'!$F$4 &amp; "EC", Imperial_Incremental[#Headers], 0)), 0))</f>
        <v/>
      </c>
      <c r="E396" s="30"/>
      <c r="F396" s="30"/>
      <c r="G396" s="30" t="str">
        <f>IF(B396=0,"",IF('Cumulative Volumes Imperial'!$AQ$17=FALSE,I396,H396))</f>
        <v/>
      </c>
      <c r="H396" s="30"/>
      <c r="I396" s="30"/>
      <c r="J396" s="30" t="str">
        <f>IF(B396="","",IF('Cumulative Volumes Imperial'!$AQ$17=FALSE,L396,K396))</f>
        <v/>
      </c>
      <c r="K396" s="30"/>
      <c r="L396" s="30"/>
      <c r="M396" s="30" t="str">
        <f>IF($E$8+45+$E$9&gt;989,"FALSE",IF(B396="","",IF('Cumulative Volumes Imperial'!$AQ$17=FALSE,O396,N396)))</f>
        <v/>
      </c>
      <c r="N396" s="30"/>
      <c r="O396" s="30"/>
      <c r="P396" s="30" t="str">
        <f>IF(B396=0,"",(((1/12)*'Imperial Data'!$AC$4*'Imperial Data'!$AC$5)-C396)*$H$6)</f>
        <v/>
      </c>
      <c r="Q396" s="30"/>
      <c r="R396" s="30" t="str">
        <f>IF(B396=0,"",(((1/12)*'Imperial Data'!$AC$5*'Imperial Data'!$AC$7)-D396)*$H$6)</f>
        <v/>
      </c>
      <c r="S396" s="30"/>
      <c r="T396" s="30"/>
      <c r="U396" s="30"/>
      <c r="V396" s="30"/>
      <c r="W396" s="30" t="str">
        <f t="shared" si="66"/>
        <v/>
      </c>
      <c r="X396" s="31"/>
      <c r="Y396" s="30" t="str">
        <f t="shared" si="67"/>
        <v/>
      </c>
    </row>
    <row r="397" spans="2:25" x14ac:dyDescent="0.2">
      <c r="B397" s="34"/>
      <c r="C397" s="30" t="str">
        <f>IF(B397=0,"",IF('Imperial Data'!AG386&gt;=1, INDEX(Imperial_Incremental[], MATCH('Imperial Data'!AG386, Imperial_Incremental[Height], 1), MATCH('Cumulative Volumes Imperial'!$F$4, Imperial_Incremental[#Headers], 0)), 0))</f>
        <v/>
      </c>
      <c r="D397" s="30" t="str">
        <f>IF(B397=0,"",IF('Imperial Data'!AG386&gt;=1, INDEX(Imperial_Incremental[], MATCH('Imperial Data'!AG386, Imperial_Incremental[Height], 1), MATCH('Cumulative Volumes Imperial'!$F$4 &amp; "EC", Imperial_Incremental[#Headers], 0)), 0))</f>
        <v/>
      </c>
      <c r="E397" s="30"/>
      <c r="F397" s="30"/>
      <c r="G397" s="30" t="str">
        <f>IF(B397=0,"",IF('Cumulative Volumes Imperial'!$AQ$17=FALSE,I397,H397))</f>
        <v/>
      </c>
      <c r="H397" s="30"/>
      <c r="I397" s="30"/>
      <c r="J397" s="30" t="str">
        <f>IF(B397="","",IF('Cumulative Volumes Imperial'!$AQ$17=FALSE,L397,K397))</f>
        <v/>
      </c>
      <c r="K397" s="30"/>
      <c r="L397" s="30"/>
      <c r="M397" s="30" t="str">
        <f>IF($E$8+45+$E$9&gt;989,"FALSE",IF(B397="","",IF('Cumulative Volumes Imperial'!$AQ$17=FALSE,O397,N397)))</f>
        <v/>
      </c>
      <c r="N397" s="30"/>
      <c r="O397" s="30"/>
      <c r="P397" s="30" t="str">
        <f>IF(B397=0,"",(((1/12)*'Imperial Data'!$AC$4*'Imperial Data'!$AC$5)-C397)*$H$6)</f>
        <v/>
      </c>
      <c r="Q397" s="30"/>
      <c r="R397" s="30" t="str">
        <f>IF(B397=0,"",(((1/12)*'Imperial Data'!$AC$5*'Imperial Data'!$AC$7)-D397)*$H$6)</f>
        <v/>
      </c>
      <c r="S397" s="30"/>
      <c r="T397" s="30"/>
      <c r="U397" s="30"/>
      <c r="V397" s="30"/>
      <c r="W397" s="30" t="str">
        <f t="shared" si="66"/>
        <v/>
      </c>
      <c r="X397" s="31"/>
      <c r="Y397" s="30" t="str">
        <f t="shared" si="67"/>
        <v/>
      </c>
    </row>
    <row r="398" spans="2:25" x14ac:dyDescent="0.2">
      <c r="B398" s="34"/>
      <c r="C398" s="30" t="str">
        <f>IF(B398=0,"",IF('Imperial Data'!AG387&gt;=1, INDEX(Imperial_Incremental[], MATCH('Imperial Data'!AG387, Imperial_Incremental[Height], 1), MATCH('Cumulative Volumes Imperial'!$F$4, Imperial_Incremental[#Headers], 0)), 0))</f>
        <v/>
      </c>
      <c r="D398" s="30" t="str">
        <f>IF(B398=0,"",IF('Imperial Data'!AG387&gt;=1, INDEX(Imperial_Incremental[], MATCH('Imperial Data'!AG387, Imperial_Incremental[Height], 1), MATCH('Cumulative Volumes Imperial'!$F$4 &amp; "EC", Imperial_Incremental[#Headers], 0)), 0))</f>
        <v/>
      </c>
      <c r="E398" s="30"/>
      <c r="F398" s="30"/>
      <c r="G398" s="30" t="str">
        <f>IF(B398=0,"",IF('Cumulative Volumes Imperial'!$AQ$17=FALSE,I398,H398))</f>
        <v/>
      </c>
      <c r="H398" s="30"/>
      <c r="I398" s="30"/>
      <c r="J398" s="30" t="str">
        <f>IF(B398="","",IF('Cumulative Volumes Imperial'!$AQ$17=FALSE,L398,K398))</f>
        <v/>
      </c>
      <c r="K398" s="30"/>
      <c r="L398" s="30"/>
      <c r="M398" s="30" t="str">
        <f>IF($E$8+45+$E$9&gt;989,"FALSE",IF(B398="","",IF('Cumulative Volumes Imperial'!$AQ$17=FALSE,O398,N398)))</f>
        <v/>
      </c>
      <c r="N398" s="30"/>
      <c r="O398" s="30"/>
      <c r="P398" s="30" t="str">
        <f>IF(B398=0,"",(((1/12)*'Imperial Data'!$AC$4*'Imperial Data'!$AC$5)-C398)*$H$6)</f>
        <v/>
      </c>
      <c r="Q398" s="30"/>
      <c r="R398" s="30" t="str">
        <f>IF(B398=0,"",(((1/12)*'Imperial Data'!$AC$5*'Imperial Data'!$AC$7)-D398)*$H$6)</f>
        <v/>
      </c>
      <c r="S398" s="30"/>
      <c r="T398" s="30"/>
      <c r="U398" s="30"/>
      <c r="V398" s="30"/>
      <c r="W398" s="30" t="str">
        <f t="shared" si="66"/>
        <v/>
      </c>
      <c r="X398" s="31"/>
      <c r="Y398" s="30" t="str">
        <f t="shared" si="67"/>
        <v/>
      </c>
    </row>
    <row r="399" spans="2:25" x14ac:dyDescent="0.2">
      <c r="B399" s="34"/>
      <c r="C399" s="30" t="str">
        <f>IF(B399=0,"",IF('Imperial Data'!AG388&gt;=1, INDEX(Imperial_Incremental[], MATCH('Imperial Data'!AG388, Imperial_Incremental[Height], 1), MATCH('Cumulative Volumes Imperial'!$F$4, Imperial_Incremental[#Headers], 0)), 0))</f>
        <v/>
      </c>
      <c r="D399" s="30" t="str">
        <f>IF(B399=0,"",IF('Imperial Data'!AG388&gt;=1, INDEX(Imperial_Incremental[], MATCH('Imperial Data'!AG388, Imperial_Incremental[Height], 1), MATCH('Cumulative Volumes Imperial'!$F$4 &amp; "EC", Imperial_Incremental[#Headers], 0)), 0))</f>
        <v/>
      </c>
      <c r="E399" s="30"/>
      <c r="F399" s="30"/>
      <c r="G399" s="30" t="str">
        <f>IF(B399=0,"",IF('Cumulative Volumes Imperial'!$AQ$17=FALSE,I399,H399))</f>
        <v/>
      </c>
      <c r="H399" s="30"/>
      <c r="I399" s="30"/>
      <c r="J399" s="30" t="str">
        <f>IF(B399="","",IF('Cumulative Volumes Imperial'!$AQ$17=FALSE,L399,K399))</f>
        <v/>
      </c>
      <c r="K399" s="30"/>
      <c r="L399" s="30"/>
      <c r="M399" s="30" t="str">
        <f>IF($E$8+45+$E$9&gt;989,"FALSE",IF(B399="","",IF('Cumulative Volumes Imperial'!$AQ$17=FALSE,O399,N399)))</f>
        <v/>
      </c>
      <c r="N399" s="30"/>
      <c r="O399" s="30"/>
      <c r="P399" s="30" t="str">
        <f>IF(B399=0,"",(((1/12)*'Imperial Data'!$AC$4*'Imperial Data'!$AC$5)-C399)*$H$6)</f>
        <v/>
      </c>
      <c r="Q399" s="30"/>
      <c r="R399" s="30" t="str">
        <f>IF(B399=0,"",(((1/12)*'Imperial Data'!$AC$5*'Imperial Data'!$AC$7)-D399)*$H$6)</f>
        <v/>
      </c>
      <c r="S399" s="30"/>
      <c r="T399" s="30"/>
      <c r="U399" s="30"/>
      <c r="V399" s="30"/>
      <c r="W399" s="30" t="str">
        <f t="shared" ref="W399:W462" si="68">IF(B399=0,"",IF(B399=1,D399+R399,W400+D399+R399))</f>
        <v/>
      </c>
      <c r="X399" s="31"/>
      <c r="Y399" s="30" t="str">
        <f t="shared" ref="Y399:Y462" si="69">IF(B399=0,"",$E$7+B399/12)</f>
        <v/>
      </c>
    </row>
    <row r="400" spans="2:25" x14ac:dyDescent="0.2">
      <c r="B400" s="34"/>
      <c r="C400" s="30" t="str">
        <f>IF(B400=0,"",IF('Imperial Data'!AG389&gt;=1, INDEX(Imperial_Incremental[], MATCH('Imperial Data'!AG389, Imperial_Incremental[Height], 1), MATCH('Cumulative Volumes Imperial'!$F$4, Imperial_Incremental[#Headers], 0)), 0))</f>
        <v/>
      </c>
      <c r="D400" s="30" t="str">
        <f>IF(B400=0,"",IF('Imperial Data'!AG389&gt;=1, INDEX(Imperial_Incremental[], MATCH('Imperial Data'!AG389, Imperial_Incremental[Height], 1), MATCH('Cumulative Volumes Imperial'!$F$4 &amp; "EC", Imperial_Incremental[#Headers], 0)), 0))</f>
        <v/>
      </c>
      <c r="E400" s="30"/>
      <c r="F400" s="30"/>
      <c r="G400" s="30" t="str">
        <f>IF(B400=0,"",IF('Cumulative Volumes Imperial'!$AQ$17=FALSE,I400,H400))</f>
        <v/>
      </c>
      <c r="H400" s="30"/>
      <c r="I400" s="30"/>
      <c r="J400" s="30" t="str">
        <f>IF(B400="","",IF('Cumulative Volumes Imperial'!$AQ$17=FALSE,L400,K400))</f>
        <v/>
      </c>
      <c r="K400" s="30"/>
      <c r="L400" s="30"/>
      <c r="M400" s="30" t="str">
        <f>IF($E$8+45+$E$9&gt;989,"FALSE",IF(B400="","",IF('Cumulative Volumes Imperial'!$AQ$17=FALSE,O400,N400)))</f>
        <v/>
      </c>
      <c r="N400" s="30"/>
      <c r="O400" s="30"/>
      <c r="P400" s="30" t="str">
        <f>IF(B400=0,"",(((1/12)*'Imperial Data'!$AC$4*'Imperial Data'!$AC$5)-C400)*$H$6)</f>
        <v/>
      </c>
      <c r="Q400" s="30"/>
      <c r="R400" s="30" t="str">
        <f>IF(B400=0,"",(((1/12)*'Imperial Data'!$AC$5*'Imperial Data'!$AC$7)-D400)*$H$6)</f>
        <v/>
      </c>
      <c r="S400" s="30"/>
      <c r="T400" s="30"/>
      <c r="U400" s="30"/>
      <c r="V400" s="30"/>
      <c r="W400" s="30" t="str">
        <f t="shared" si="68"/>
        <v/>
      </c>
      <c r="X400" s="31"/>
      <c r="Y400" s="30" t="str">
        <f t="shared" si="69"/>
        <v/>
      </c>
    </row>
    <row r="401" spans="2:25" x14ac:dyDescent="0.2">
      <c r="B401" s="34"/>
      <c r="C401" s="30" t="str">
        <f>IF(B401=0,"",IF('Imperial Data'!AG390&gt;=1, INDEX(Imperial_Incremental[], MATCH('Imperial Data'!AG390, Imperial_Incremental[Height], 1), MATCH('Cumulative Volumes Imperial'!$F$4, Imperial_Incremental[#Headers], 0)), 0))</f>
        <v/>
      </c>
      <c r="D401" s="30" t="str">
        <f>IF(B401=0,"",IF('Imperial Data'!AG390&gt;=1, INDEX(Imperial_Incremental[], MATCH('Imperial Data'!AG390, Imperial_Incremental[Height], 1), MATCH('Cumulative Volumes Imperial'!$F$4 &amp; "EC", Imperial_Incremental[#Headers], 0)), 0))</f>
        <v/>
      </c>
      <c r="E401" s="30"/>
      <c r="F401" s="30"/>
      <c r="G401" s="30" t="str">
        <f>IF(B401=0,"",IF('Cumulative Volumes Imperial'!$AQ$17=FALSE,I401,H401))</f>
        <v/>
      </c>
      <c r="H401" s="30"/>
      <c r="I401" s="30"/>
      <c r="J401" s="30" t="str">
        <f>IF(B401="","",IF('Cumulative Volumes Imperial'!$AQ$17=FALSE,L401,K401))</f>
        <v/>
      </c>
      <c r="K401" s="30"/>
      <c r="L401" s="30"/>
      <c r="M401" s="30" t="str">
        <f>IF($E$8+45+$E$9&gt;989,"FALSE",IF(B401="","",IF('Cumulative Volumes Imperial'!$AQ$17=FALSE,O401,N401)))</f>
        <v/>
      </c>
      <c r="N401" s="30"/>
      <c r="O401" s="30"/>
      <c r="P401" s="30" t="str">
        <f>IF(B401=0,"",(((1/12)*'Imperial Data'!$AC$4*'Imperial Data'!$AC$5)-C401)*$H$6)</f>
        <v/>
      </c>
      <c r="Q401" s="30"/>
      <c r="R401" s="30" t="str">
        <f>IF(B401=0,"",(((1/12)*'Imperial Data'!$AC$5*'Imperial Data'!$AC$7)-D401)*$H$6)</f>
        <v/>
      </c>
      <c r="S401" s="30"/>
      <c r="T401" s="30"/>
      <c r="U401" s="30"/>
      <c r="V401" s="30"/>
      <c r="W401" s="30" t="str">
        <f t="shared" si="68"/>
        <v/>
      </c>
      <c r="X401" s="31"/>
      <c r="Y401" s="30" t="str">
        <f t="shared" si="69"/>
        <v/>
      </c>
    </row>
    <row r="402" spans="2:25" x14ac:dyDescent="0.2">
      <c r="B402" s="34"/>
      <c r="C402" s="30" t="str">
        <f>IF(B402=0,"",IF('Imperial Data'!AG391&gt;=1, INDEX(Imperial_Incremental[], MATCH('Imperial Data'!AG391, Imperial_Incremental[Height], 1), MATCH('Cumulative Volumes Imperial'!$F$4, Imperial_Incremental[#Headers], 0)), 0))</f>
        <v/>
      </c>
      <c r="D402" s="30" t="str">
        <f>IF(B402=0,"",IF('Imperial Data'!AG391&gt;=1, INDEX(Imperial_Incremental[], MATCH('Imperial Data'!AG391, Imperial_Incremental[Height], 1), MATCH('Cumulative Volumes Imperial'!$F$4 &amp; "EC", Imperial_Incremental[#Headers], 0)), 0))</f>
        <v/>
      </c>
      <c r="E402" s="30"/>
      <c r="F402" s="30"/>
      <c r="G402" s="30" t="str">
        <f>IF(B402=0,"",IF('Cumulative Volumes Imperial'!$AQ$17=FALSE,I402,H402))</f>
        <v/>
      </c>
      <c r="H402" s="30"/>
      <c r="I402" s="30"/>
      <c r="J402" s="30" t="str">
        <f>IF(B402="","",IF('Cumulative Volumes Imperial'!$AQ$17=FALSE,L402,K402))</f>
        <v/>
      </c>
      <c r="K402" s="30"/>
      <c r="L402" s="30"/>
      <c r="M402" s="30" t="str">
        <f>IF($E$8+45+$E$9&gt;989,"FALSE",IF(B402="","",IF('Cumulative Volumes Imperial'!$AQ$17=FALSE,O402,N402)))</f>
        <v/>
      </c>
      <c r="N402" s="30"/>
      <c r="O402" s="30"/>
      <c r="P402" s="30" t="str">
        <f>IF(B402=0,"",(((1/12)*'Imperial Data'!$AC$4*'Imperial Data'!$AC$5)-C402)*$H$6)</f>
        <v/>
      </c>
      <c r="Q402" s="30"/>
      <c r="R402" s="30" t="str">
        <f>IF(B402=0,"",(((1/12)*'Imperial Data'!$AC$5*'Imperial Data'!$AC$7)-D402)*$H$6)</f>
        <v/>
      </c>
      <c r="S402" s="30"/>
      <c r="T402" s="30"/>
      <c r="U402" s="30"/>
      <c r="V402" s="30"/>
      <c r="W402" s="30" t="str">
        <f t="shared" si="68"/>
        <v/>
      </c>
      <c r="X402" s="31"/>
      <c r="Y402" s="30" t="str">
        <f t="shared" si="69"/>
        <v/>
      </c>
    </row>
    <row r="403" spans="2:25" x14ac:dyDescent="0.2">
      <c r="B403" s="34"/>
      <c r="C403" s="30" t="str">
        <f>IF(B403=0,"",IF('Imperial Data'!AG392&gt;=1, INDEX(Imperial_Incremental[], MATCH('Imperial Data'!AG392, Imperial_Incremental[Height], 1), MATCH('Cumulative Volumes Imperial'!$F$4, Imperial_Incremental[#Headers], 0)), 0))</f>
        <v/>
      </c>
      <c r="D403" s="30" t="str">
        <f>IF(B403=0,"",IF('Imperial Data'!AG392&gt;=1, INDEX(Imperial_Incremental[], MATCH('Imperial Data'!AG392, Imperial_Incremental[Height], 1), MATCH('Cumulative Volumes Imperial'!$F$4 &amp; "EC", Imperial_Incremental[#Headers], 0)), 0))</f>
        <v/>
      </c>
      <c r="E403" s="30"/>
      <c r="F403" s="30"/>
      <c r="G403" s="30" t="str">
        <f>IF(B403=0,"",IF('Cumulative Volumes Imperial'!$AQ$17=FALSE,I403,H403))</f>
        <v/>
      </c>
      <c r="H403" s="30"/>
      <c r="I403" s="30"/>
      <c r="J403" s="30" t="str">
        <f>IF(B403="","",IF('Cumulative Volumes Imperial'!$AQ$17=FALSE,L403,K403))</f>
        <v/>
      </c>
      <c r="K403" s="30"/>
      <c r="L403" s="30"/>
      <c r="M403" s="30" t="str">
        <f>IF($E$8+45+$E$9&gt;989,"FALSE",IF(B403="","",IF('Cumulative Volumes Imperial'!$AQ$17=FALSE,O403,N403)))</f>
        <v/>
      </c>
      <c r="N403" s="30"/>
      <c r="O403" s="30"/>
      <c r="P403" s="30" t="str">
        <f>IF(B403=0,"",(((1/12)*'Imperial Data'!$AC$4*'Imperial Data'!$AC$5)-C403)*$H$6)</f>
        <v/>
      </c>
      <c r="Q403" s="30"/>
      <c r="R403" s="30" t="str">
        <f>IF(B403=0,"",(((1/12)*'Imperial Data'!$AC$5*'Imperial Data'!$AC$7)-D403)*$H$6)</f>
        <v/>
      </c>
      <c r="S403" s="30"/>
      <c r="T403" s="30"/>
      <c r="U403" s="30"/>
      <c r="V403" s="30"/>
      <c r="W403" s="30" t="str">
        <f t="shared" si="68"/>
        <v/>
      </c>
      <c r="X403" s="31"/>
      <c r="Y403" s="30" t="str">
        <f t="shared" si="69"/>
        <v/>
      </c>
    </row>
    <row r="404" spans="2:25" x14ac:dyDescent="0.2">
      <c r="B404" s="34"/>
      <c r="C404" s="30" t="str">
        <f>IF(B404=0,"",IF('Imperial Data'!AG393&gt;=1, INDEX(Imperial_Incremental[], MATCH('Imperial Data'!AG393, Imperial_Incremental[Height], 1), MATCH('Cumulative Volumes Imperial'!$F$4, Imperial_Incremental[#Headers], 0)), 0))</f>
        <v/>
      </c>
      <c r="D404" s="30" t="str">
        <f>IF(B404=0,"",IF('Imperial Data'!AG393&gt;=1, INDEX(Imperial_Incremental[], MATCH('Imperial Data'!AG393, Imperial_Incremental[Height], 1), MATCH('Cumulative Volumes Imperial'!$F$4 &amp; "EC", Imperial_Incremental[#Headers], 0)), 0))</f>
        <v/>
      </c>
      <c r="E404" s="30"/>
      <c r="F404" s="30"/>
      <c r="G404" s="30" t="str">
        <f>IF(B404=0,"",IF('Cumulative Volumes Imperial'!$AQ$17=FALSE,I404,H404))</f>
        <v/>
      </c>
      <c r="H404" s="30"/>
      <c r="I404" s="30"/>
      <c r="J404" s="30" t="str">
        <f>IF(B404="","",IF('Cumulative Volumes Imperial'!$AQ$17=FALSE,L404,K404))</f>
        <v/>
      </c>
      <c r="K404" s="30"/>
      <c r="L404" s="30"/>
      <c r="M404" s="30" t="str">
        <f>IF($E$8+45+$E$9&gt;989,"FALSE",IF(B404="","",IF('Cumulative Volumes Imperial'!$AQ$17=FALSE,O404,N404)))</f>
        <v/>
      </c>
      <c r="N404" s="30"/>
      <c r="O404" s="30"/>
      <c r="P404" s="30" t="str">
        <f>IF(B404=0,"",(((1/12)*'Imperial Data'!$AC$4*'Imperial Data'!$AC$5)-C404)*$H$6)</f>
        <v/>
      </c>
      <c r="Q404" s="30"/>
      <c r="R404" s="30" t="str">
        <f>IF(B404=0,"",(((1/12)*'Imperial Data'!$AC$5*'Imperial Data'!$AC$7)-D404)*$H$6)</f>
        <v/>
      </c>
      <c r="S404" s="30"/>
      <c r="T404" s="30"/>
      <c r="U404" s="30"/>
      <c r="V404" s="30"/>
      <c r="W404" s="30" t="str">
        <f t="shared" si="68"/>
        <v/>
      </c>
      <c r="X404" s="31"/>
      <c r="Y404" s="30" t="str">
        <f t="shared" si="69"/>
        <v/>
      </c>
    </row>
    <row r="405" spans="2:25" x14ac:dyDescent="0.2">
      <c r="B405" s="34"/>
      <c r="C405" s="30" t="str">
        <f>IF(B405=0,"",IF('Imperial Data'!AG394&gt;=1, INDEX(Imperial_Incremental[], MATCH('Imperial Data'!AG394, Imperial_Incremental[Height], 1), MATCH('Cumulative Volumes Imperial'!$F$4, Imperial_Incremental[#Headers], 0)), 0))</f>
        <v/>
      </c>
      <c r="D405" s="30" t="str">
        <f>IF(B405=0,"",IF('Imperial Data'!AG394&gt;=1, INDEX(Imperial_Incremental[], MATCH('Imperial Data'!AG394, Imperial_Incremental[Height], 1), MATCH('Cumulative Volumes Imperial'!$F$4 &amp; "EC", Imperial_Incremental[#Headers], 0)), 0))</f>
        <v/>
      </c>
      <c r="E405" s="30"/>
      <c r="F405" s="30"/>
      <c r="G405" s="30" t="str">
        <f>IF(B405=0,"",IF('Cumulative Volumes Imperial'!$AQ$17=FALSE,I405,H405))</f>
        <v/>
      </c>
      <c r="H405" s="30"/>
      <c r="I405" s="30"/>
      <c r="J405" s="30" t="str">
        <f>IF(B405="","",IF('Cumulative Volumes Imperial'!$AQ$17=FALSE,L405,K405))</f>
        <v/>
      </c>
      <c r="K405" s="30"/>
      <c r="L405" s="30"/>
      <c r="M405" s="30" t="str">
        <f>IF($E$8+45+$E$9&gt;989,"FALSE",IF(B405="","",IF('Cumulative Volumes Imperial'!$AQ$17=FALSE,O405,N405)))</f>
        <v/>
      </c>
      <c r="N405" s="30"/>
      <c r="O405" s="30"/>
      <c r="P405" s="30" t="str">
        <f>IF(B405=0,"",(((1/12)*'Imperial Data'!$AC$4*'Imperial Data'!$AC$5)-C405)*$H$6)</f>
        <v/>
      </c>
      <c r="Q405" s="30"/>
      <c r="R405" s="30" t="str">
        <f>IF(B405=0,"",(((1/12)*'Imperial Data'!$AC$5*'Imperial Data'!$AC$7)-D405)*$H$6)</f>
        <v/>
      </c>
      <c r="S405" s="30"/>
      <c r="T405" s="30"/>
      <c r="U405" s="30"/>
      <c r="V405" s="30"/>
      <c r="W405" s="30" t="str">
        <f t="shared" si="68"/>
        <v/>
      </c>
      <c r="X405" s="31"/>
      <c r="Y405" s="30" t="str">
        <f t="shared" si="69"/>
        <v/>
      </c>
    </row>
    <row r="406" spans="2:25" x14ac:dyDescent="0.2">
      <c r="B406" s="34"/>
      <c r="C406" s="30" t="str">
        <f>IF(B406=0,"",IF('Imperial Data'!AG395&gt;=1, INDEX(Imperial_Incremental[], MATCH('Imperial Data'!AG395, Imperial_Incremental[Height], 1), MATCH('Cumulative Volumes Imperial'!$F$4, Imperial_Incremental[#Headers], 0)), 0))</f>
        <v/>
      </c>
      <c r="D406" s="30" t="str">
        <f>IF(B406=0,"",IF('Imperial Data'!AG395&gt;=1, INDEX(Imperial_Incremental[], MATCH('Imperial Data'!AG395, Imperial_Incremental[Height], 1), MATCH('Cumulative Volumes Imperial'!$F$4 &amp; "EC", Imperial_Incremental[#Headers], 0)), 0))</f>
        <v/>
      </c>
      <c r="E406" s="30"/>
      <c r="F406" s="30"/>
      <c r="G406" s="30" t="str">
        <f>IF(B406=0,"",IF('Cumulative Volumes Imperial'!$AQ$17=FALSE,I406,H406))</f>
        <v/>
      </c>
      <c r="H406" s="30"/>
      <c r="I406" s="30"/>
      <c r="J406" s="30" t="str">
        <f>IF(B406="","",IF('Cumulative Volumes Imperial'!$AQ$17=FALSE,L406,K406))</f>
        <v/>
      </c>
      <c r="K406" s="30"/>
      <c r="L406" s="30"/>
      <c r="M406" s="30" t="str">
        <f>IF($E$8+45+$E$9&gt;989,"FALSE",IF(B406="","",IF('Cumulative Volumes Imperial'!$AQ$17=FALSE,O406,N406)))</f>
        <v/>
      </c>
      <c r="N406" s="30"/>
      <c r="O406" s="30"/>
      <c r="P406" s="30" t="str">
        <f>IF(B406=0,"",(((1/12)*'Imperial Data'!$AC$4*'Imperial Data'!$AC$5)-C406)*$H$6)</f>
        <v/>
      </c>
      <c r="Q406" s="30"/>
      <c r="R406" s="30" t="str">
        <f>IF(B406=0,"",(((1/12)*'Imperial Data'!$AC$5*'Imperial Data'!$AC$7)-D406)*$H$6)</f>
        <v/>
      </c>
      <c r="S406" s="30"/>
      <c r="T406" s="30"/>
      <c r="U406" s="30"/>
      <c r="V406" s="30"/>
      <c r="W406" s="30" t="str">
        <f t="shared" si="68"/>
        <v/>
      </c>
      <c r="X406" s="31"/>
      <c r="Y406" s="30" t="str">
        <f t="shared" si="69"/>
        <v/>
      </c>
    </row>
    <row r="407" spans="2:25" x14ac:dyDescent="0.2">
      <c r="B407" s="34"/>
      <c r="C407" s="30" t="str">
        <f>IF(B407=0,"",IF('Imperial Data'!AG396&gt;=1, INDEX(Imperial_Incremental[], MATCH('Imperial Data'!AG396, Imperial_Incremental[Height], 1), MATCH('Cumulative Volumes Imperial'!$F$4, Imperial_Incremental[#Headers], 0)), 0))</f>
        <v/>
      </c>
      <c r="D407" s="30" t="str">
        <f>IF(B407=0,"",IF('Imperial Data'!AG396&gt;=1, INDEX(Imperial_Incremental[], MATCH('Imperial Data'!AG396, Imperial_Incremental[Height], 1), MATCH('Cumulative Volumes Imperial'!$F$4 &amp; "EC", Imperial_Incremental[#Headers], 0)), 0))</f>
        <v/>
      </c>
      <c r="E407" s="30"/>
      <c r="F407" s="30"/>
      <c r="G407" s="30" t="str">
        <f>IF(B407=0,"",IF('Cumulative Volumes Imperial'!$AQ$17=FALSE,I407,H407))</f>
        <v/>
      </c>
      <c r="H407" s="30"/>
      <c r="I407" s="30"/>
      <c r="J407" s="30" t="str">
        <f>IF(B407="","",IF('Cumulative Volumes Imperial'!$AQ$17=FALSE,L407,K407))</f>
        <v/>
      </c>
      <c r="K407" s="30"/>
      <c r="L407" s="30"/>
      <c r="M407" s="30" t="str">
        <f>IF($E$8+45+$E$9&gt;989,"FALSE",IF(B407="","",IF('Cumulative Volumes Imperial'!$AQ$17=FALSE,O407,N407)))</f>
        <v/>
      </c>
      <c r="N407" s="30"/>
      <c r="O407" s="30"/>
      <c r="P407" s="30" t="str">
        <f>IF(B407=0,"",(((1/12)*'Imperial Data'!$AC$4*'Imperial Data'!$AC$5)-C407)*$H$6)</f>
        <v/>
      </c>
      <c r="Q407" s="30"/>
      <c r="R407" s="30" t="str">
        <f>IF(B407=0,"",(((1/12)*'Imperial Data'!$AC$5*'Imperial Data'!$AC$7)-D407)*$H$6)</f>
        <v/>
      </c>
      <c r="S407" s="30"/>
      <c r="T407" s="30"/>
      <c r="U407" s="30"/>
      <c r="V407" s="30"/>
      <c r="W407" s="30" t="str">
        <f t="shared" si="68"/>
        <v/>
      </c>
      <c r="X407" s="31"/>
      <c r="Y407" s="30" t="str">
        <f t="shared" si="69"/>
        <v/>
      </c>
    </row>
    <row r="408" spans="2:25" x14ac:dyDescent="0.2">
      <c r="B408" s="34"/>
      <c r="C408" s="30" t="str">
        <f>IF(B408=0,"",IF('Imperial Data'!AG397&gt;=1, INDEX(Imperial_Incremental[], MATCH('Imperial Data'!AG397, Imperial_Incremental[Height], 1), MATCH('Cumulative Volumes Imperial'!$F$4, Imperial_Incremental[#Headers], 0)), 0))</f>
        <v/>
      </c>
      <c r="D408" s="30" t="str">
        <f>IF(B408=0,"",IF('Imperial Data'!AG397&gt;=1, INDEX(Imperial_Incremental[], MATCH('Imperial Data'!AG397, Imperial_Incremental[Height], 1), MATCH('Cumulative Volumes Imperial'!$F$4 &amp; "EC", Imperial_Incremental[#Headers], 0)), 0))</f>
        <v/>
      </c>
      <c r="E408" s="30"/>
      <c r="F408" s="30"/>
      <c r="G408" s="30" t="str">
        <f>IF(B408=0,"",IF('Cumulative Volumes Imperial'!$AQ$17=FALSE,I408,H408))</f>
        <v/>
      </c>
      <c r="H408" s="30"/>
      <c r="I408" s="30"/>
      <c r="J408" s="30" t="str">
        <f>IF(B408="","",IF('Cumulative Volumes Imperial'!$AQ$17=FALSE,L408,K408))</f>
        <v/>
      </c>
      <c r="K408" s="30"/>
      <c r="L408" s="30"/>
      <c r="M408" s="30" t="str">
        <f>IF($E$8+45+$E$9&gt;989,"FALSE",IF(B408="","",IF('Cumulative Volumes Imperial'!$AQ$17=FALSE,O408,N408)))</f>
        <v/>
      </c>
      <c r="N408" s="30"/>
      <c r="O408" s="30"/>
      <c r="P408" s="30" t="str">
        <f>IF(B408=0,"",(((1/12)*'Imperial Data'!$AC$4*'Imperial Data'!$AC$5)-C408)*$H$6)</f>
        <v/>
      </c>
      <c r="Q408" s="30"/>
      <c r="R408" s="30" t="str">
        <f>IF(B408=0,"",(((1/12)*'Imperial Data'!$AC$5*'Imperial Data'!$AC$7)-D408)*$H$6)</f>
        <v/>
      </c>
      <c r="S408" s="30"/>
      <c r="T408" s="30"/>
      <c r="U408" s="30"/>
      <c r="V408" s="30"/>
      <c r="W408" s="30" t="str">
        <f t="shared" si="68"/>
        <v/>
      </c>
      <c r="X408" s="31"/>
      <c r="Y408" s="30" t="str">
        <f t="shared" si="69"/>
        <v/>
      </c>
    </row>
    <row r="409" spans="2:25" x14ac:dyDescent="0.2">
      <c r="B409" s="34"/>
      <c r="C409" s="30" t="str">
        <f>IF(B409=0,"",IF('Imperial Data'!AG398&gt;=1, INDEX(Imperial_Incremental[], MATCH('Imperial Data'!AG398, Imperial_Incremental[Height], 1), MATCH('Cumulative Volumes Imperial'!$F$4, Imperial_Incremental[#Headers], 0)), 0))</f>
        <v/>
      </c>
      <c r="D409" s="30" t="str">
        <f>IF(B409=0,"",IF('Imperial Data'!AG398&gt;=1, INDEX(Imperial_Incremental[], MATCH('Imperial Data'!AG398, Imperial_Incremental[Height], 1), MATCH('Cumulative Volumes Imperial'!$F$4 &amp; "EC", Imperial_Incremental[#Headers], 0)), 0))</f>
        <v/>
      </c>
      <c r="E409" s="30"/>
      <c r="F409" s="30"/>
      <c r="G409" s="30" t="str">
        <f>IF(B409=0,"",IF('Cumulative Volumes Imperial'!$AQ$17=FALSE,I409,H409))</f>
        <v/>
      </c>
      <c r="H409" s="30"/>
      <c r="I409" s="30"/>
      <c r="J409" s="30" t="str">
        <f>IF(B409="","",IF('Cumulative Volumes Imperial'!$AQ$17=FALSE,L409,K409))</f>
        <v/>
      </c>
      <c r="K409" s="30"/>
      <c r="L409" s="30"/>
      <c r="M409" s="30" t="str">
        <f>IF($E$8+45+$E$9&gt;989,"FALSE",IF(B409="","",IF('Cumulative Volumes Imperial'!$AQ$17=FALSE,O409,N409)))</f>
        <v/>
      </c>
      <c r="N409" s="30"/>
      <c r="O409" s="30"/>
      <c r="P409" s="30" t="str">
        <f>IF(B409=0,"",(((1/12)*'Imperial Data'!$AC$4*'Imperial Data'!$AC$5)-C409)*$H$6)</f>
        <v/>
      </c>
      <c r="Q409" s="30"/>
      <c r="R409" s="30" t="str">
        <f>IF(B409=0,"",(((1/12)*'Imperial Data'!$AC$5*'Imperial Data'!$AC$7)-D409)*$H$6)</f>
        <v/>
      </c>
      <c r="S409" s="30"/>
      <c r="T409" s="30"/>
      <c r="U409" s="30"/>
      <c r="V409" s="30"/>
      <c r="W409" s="30" t="str">
        <f t="shared" si="68"/>
        <v/>
      </c>
      <c r="X409" s="31"/>
      <c r="Y409" s="30" t="str">
        <f t="shared" si="69"/>
        <v/>
      </c>
    </row>
    <row r="410" spans="2:25" x14ac:dyDescent="0.2">
      <c r="B410" s="34"/>
      <c r="C410" s="30" t="str">
        <f>IF(B410=0,"",IF('Imperial Data'!AG399&gt;=1, INDEX(Imperial_Incremental[], MATCH('Imperial Data'!AG399, Imperial_Incremental[Height], 1), MATCH('Cumulative Volumes Imperial'!$F$4, Imperial_Incremental[#Headers], 0)), 0))</f>
        <v/>
      </c>
      <c r="D410" s="30" t="str">
        <f>IF(B410=0,"",IF('Imperial Data'!AG399&gt;=1, INDEX(Imperial_Incremental[], MATCH('Imperial Data'!AG399, Imperial_Incremental[Height], 1), MATCH('Cumulative Volumes Imperial'!$F$4 &amp; "EC", Imperial_Incremental[#Headers], 0)), 0))</f>
        <v/>
      </c>
      <c r="E410" s="30"/>
      <c r="F410" s="30"/>
      <c r="G410" s="30" t="str">
        <f>IF(B410=0,"",IF('Cumulative Volumes Imperial'!$AQ$17=FALSE,I410,H410))</f>
        <v/>
      </c>
      <c r="H410" s="30"/>
      <c r="I410" s="30"/>
      <c r="J410" s="30" t="str">
        <f>IF(B410="","",IF('Cumulative Volumes Imperial'!$AQ$17=FALSE,L410,K410))</f>
        <v/>
      </c>
      <c r="K410" s="30"/>
      <c r="L410" s="30"/>
      <c r="M410" s="30" t="str">
        <f>IF($E$8+45+$E$9&gt;989,"FALSE",IF(B410="","",IF('Cumulative Volumes Imperial'!$AQ$17=FALSE,O410,N410)))</f>
        <v/>
      </c>
      <c r="N410" s="30"/>
      <c r="O410" s="30"/>
      <c r="P410" s="30" t="str">
        <f>IF(B410=0,"",(((1/12)*'Imperial Data'!$AC$4*'Imperial Data'!$AC$5)-C410)*$H$6)</f>
        <v/>
      </c>
      <c r="Q410" s="30"/>
      <c r="R410" s="30" t="str">
        <f>IF(B410=0,"",(((1/12)*'Imperial Data'!$AC$5*'Imperial Data'!$AC$7)-D410)*$H$6)</f>
        <v/>
      </c>
      <c r="S410" s="30"/>
      <c r="T410" s="30"/>
      <c r="U410" s="30"/>
      <c r="V410" s="30"/>
      <c r="W410" s="30" t="str">
        <f t="shared" si="68"/>
        <v/>
      </c>
      <c r="X410" s="31"/>
      <c r="Y410" s="30" t="str">
        <f t="shared" si="69"/>
        <v/>
      </c>
    </row>
    <row r="411" spans="2:25" x14ac:dyDescent="0.2">
      <c r="B411" s="34"/>
      <c r="C411" s="30" t="str">
        <f>IF(B411=0,"",IF('Imperial Data'!AG400&gt;=1, INDEX(Imperial_Incremental[], MATCH('Imperial Data'!AG400, Imperial_Incremental[Height], 1), MATCH('Cumulative Volumes Imperial'!$F$4, Imperial_Incremental[#Headers], 0)), 0))</f>
        <v/>
      </c>
      <c r="D411" s="30" t="str">
        <f>IF(B411=0,"",IF('Imperial Data'!AG400&gt;=1, INDEX(Imperial_Incremental[], MATCH('Imperial Data'!AG400, Imperial_Incremental[Height], 1), MATCH('Cumulative Volumes Imperial'!$F$4 &amp; "EC", Imperial_Incremental[#Headers], 0)), 0))</f>
        <v/>
      </c>
      <c r="E411" s="30"/>
      <c r="F411" s="30"/>
      <c r="G411" s="30" t="str">
        <f>IF(B411=0,"",IF('Cumulative Volumes Imperial'!$AQ$17=FALSE,I411,H411))</f>
        <v/>
      </c>
      <c r="H411" s="30"/>
      <c r="I411" s="30"/>
      <c r="J411" s="30" t="str">
        <f>IF(B411="","",IF('Cumulative Volumes Imperial'!$AQ$17=FALSE,L411,K411))</f>
        <v/>
      </c>
      <c r="K411" s="30"/>
      <c r="L411" s="30"/>
      <c r="M411" s="30" t="str">
        <f>IF($E$8+45+$E$9&gt;989,"FALSE",IF(B411="","",IF('Cumulative Volumes Imperial'!$AQ$17=FALSE,O411,N411)))</f>
        <v/>
      </c>
      <c r="N411" s="30"/>
      <c r="O411" s="30"/>
      <c r="P411" s="30" t="str">
        <f>IF(B411=0,"",(((1/12)*'Imperial Data'!$AC$4*'Imperial Data'!$AC$5)-C411)*$H$6)</f>
        <v/>
      </c>
      <c r="Q411" s="30"/>
      <c r="R411" s="30" t="str">
        <f>IF(B411=0,"",(((1/12)*'Imperial Data'!$AC$5*'Imperial Data'!$AC$7)-D411)*$H$6)</f>
        <v/>
      </c>
      <c r="S411" s="30"/>
      <c r="T411" s="30"/>
      <c r="U411" s="30"/>
      <c r="V411" s="30"/>
      <c r="W411" s="30" t="str">
        <f t="shared" si="68"/>
        <v/>
      </c>
      <c r="X411" s="31"/>
      <c r="Y411" s="30" t="str">
        <f t="shared" si="69"/>
        <v/>
      </c>
    </row>
    <row r="412" spans="2:25" x14ac:dyDescent="0.2">
      <c r="B412" s="34"/>
      <c r="C412" s="30" t="str">
        <f>IF(B412=0,"",IF('Imperial Data'!AG401&gt;=1, INDEX(Imperial_Incremental[], MATCH('Imperial Data'!AG401, Imperial_Incremental[Height], 1), MATCH('Cumulative Volumes Imperial'!$F$4, Imperial_Incremental[#Headers], 0)), 0))</f>
        <v/>
      </c>
      <c r="D412" s="30" t="str">
        <f>IF(B412=0,"",IF('Imperial Data'!AG401&gt;=1, INDEX(Imperial_Incremental[], MATCH('Imperial Data'!AG401, Imperial_Incremental[Height], 1), MATCH('Cumulative Volumes Imperial'!$F$4 &amp; "EC", Imperial_Incremental[#Headers], 0)), 0))</f>
        <v/>
      </c>
      <c r="E412" s="30"/>
      <c r="F412" s="30"/>
      <c r="G412" s="30" t="str">
        <f>IF(B412=0,"",IF('Cumulative Volumes Imperial'!$AQ$17=FALSE,I412,H412))</f>
        <v/>
      </c>
      <c r="H412" s="30"/>
      <c r="I412" s="30"/>
      <c r="J412" s="30" t="str">
        <f>IF(B412="","",IF('Cumulative Volumes Imperial'!$AQ$17=FALSE,L412,K412))</f>
        <v/>
      </c>
      <c r="K412" s="30"/>
      <c r="L412" s="30"/>
      <c r="M412" s="30" t="str">
        <f>IF($E$8+45+$E$9&gt;989,"FALSE",IF(B412="","",IF('Cumulative Volumes Imperial'!$AQ$17=FALSE,O412,N412)))</f>
        <v/>
      </c>
      <c r="N412" s="30"/>
      <c r="O412" s="30"/>
      <c r="P412" s="30" t="str">
        <f>IF(B412=0,"",(((1/12)*'Imperial Data'!$AC$4*'Imperial Data'!$AC$5)-C412)*$H$6)</f>
        <v/>
      </c>
      <c r="Q412" s="30"/>
      <c r="R412" s="30" t="str">
        <f>IF(B412=0,"",(((1/12)*'Imperial Data'!$AC$5*'Imperial Data'!$AC$7)-D412)*$H$6)</f>
        <v/>
      </c>
      <c r="S412" s="30"/>
      <c r="T412" s="30"/>
      <c r="U412" s="30"/>
      <c r="V412" s="30"/>
      <c r="W412" s="30" t="str">
        <f t="shared" si="68"/>
        <v/>
      </c>
      <c r="X412" s="31"/>
      <c r="Y412" s="30" t="str">
        <f t="shared" si="69"/>
        <v/>
      </c>
    </row>
    <row r="413" spans="2:25" x14ac:dyDescent="0.2">
      <c r="B413" s="34"/>
      <c r="C413" s="30" t="str">
        <f>IF(B413=0,"",IF('Imperial Data'!AG402&gt;=1, INDEX(Imperial_Incremental[], MATCH('Imperial Data'!AG402, Imperial_Incremental[Height], 1), MATCH('Cumulative Volumes Imperial'!$F$4, Imperial_Incremental[#Headers], 0)), 0))</f>
        <v/>
      </c>
      <c r="D413" s="30" t="str">
        <f>IF(B413=0,"",IF('Imperial Data'!AG402&gt;=1, INDEX(Imperial_Incremental[], MATCH('Imperial Data'!AG402, Imperial_Incremental[Height], 1), MATCH('Cumulative Volumes Imperial'!$F$4 &amp; "EC", Imperial_Incremental[#Headers], 0)), 0))</f>
        <v/>
      </c>
      <c r="E413" s="30"/>
      <c r="F413" s="30"/>
      <c r="G413" s="30" t="str">
        <f>IF(B413=0,"",IF('Cumulative Volumes Imperial'!$AQ$17=FALSE,I413,H413))</f>
        <v/>
      </c>
      <c r="H413" s="30"/>
      <c r="I413" s="30"/>
      <c r="J413" s="30" t="str">
        <f>IF(B413="","",IF('Cumulative Volumes Imperial'!$AQ$17=FALSE,L413,K413))</f>
        <v/>
      </c>
      <c r="K413" s="30"/>
      <c r="L413" s="30"/>
      <c r="M413" s="30" t="str">
        <f>IF($E$8+45+$E$9&gt;989,"FALSE",IF(B413="","",IF('Cumulative Volumes Imperial'!$AQ$17=FALSE,O413,N413)))</f>
        <v/>
      </c>
      <c r="N413" s="30"/>
      <c r="O413" s="30"/>
      <c r="P413" s="30" t="str">
        <f>IF(B413=0,"",(((1/12)*'Imperial Data'!$AC$4*'Imperial Data'!$AC$5)-C413)*$H$6)</f>
        <v/>
      </c>
      <c r="Q413" s="30"/>
      <c r="R413" s="30" t="str">
        <f>IF(B413=0,"",(((1/12)*'Imperial Data'!$AC$5*'Imperial Data'!$AC$7)-D413)*$H$6)</f>
        <v/>
      </c>
      <c r="S413" s="30"/>
      <c r="T413" s="30"/>
      <c r="U413" s="30"/>
      <c r="V413" s="30"/>
      <c r="W413" s="30" t="str">
        <f t="shared" si="68"/>
        <v/>
      </c>
      <c r="X413" s="31"/>
      <c r="Y413" s="30" t="str">
        <f t="shared" si="69"/>
        <v/>
      </c>
    </row>
    <row r="414" spans="2:25" x14ac:dyDescent="0.2">
      <c r="B414" s="34"/>
      <c r="C414" s="30" t="str">
        <f>IF(B414=0,"",IF('Imperial Data'!AG403&gt;=1, INDEX(Imperial_Incremental[], MATCH('Imperial Data'!AG403, Imperial_Incremental[Height], 1), MATCH('Cumulative Volumes Imperial'!$F$4, Imperial_Incremental[#Headers], 0)), 0))</f>
        <v/>
      </c>
      <c r="D414" s="30" t="str">
        <f>IF(B414=0,"",IF('Imperial Data'!AG403&gt;=1, INDEX(Imperial_Incremental[], MATCH('Imperial Data'!AG403, Imperial_Incremental[Height], 1), MATCH('Cumulative Volumes Imperial'!$F$4 &amp; "EC", Imperial_Incremental[#Headers], 0)), 0))</f>
        <v/>
      </c>
      <c r="E414" s="30"/>
      <c r="F414" s="30"/>
      <c r="G414" s="30" t="str">
        <f>IF(B414=0,"",IF('Cumulative Volumes Imperial'!$AQ$17=FALSE,I414,H414))</f>
        <v/>
      </c>
      <c r="H414" s="30"/>
      <c r="I414" s="30"/>
      <c r="J414" s="30" t="str">
        <f>IF(B414="","",IF('Cumulative Volumes Imperial'!$AQ$17=FALSE,L414,K414))</f>
        <v/>
      </c>
      <c r="K414" s="30"/>
      <c r="L414" s="30"/>
      <c r="M414" s="30" t="str">
        <f>IF($E$8+45+$E$9&gt;989,"FALSE",IF(B414="","",IF('Cumulative Volumes Imperial'!$AQ$17=FALSE,O414,N414)))</f>
        <v/>
      </c>
      <c r="N414" s="30"/>
      <c r="O414" s="30"/>
      <c r="P414" s="30" t="str">
        <f>IF(B414=0,"",(((1/12)*'Imperial Data'!$AC$4*'Imperial Data'!$AC$5)-C414)*$H$6)</f>
        <v/>
      </c>
      <c r="Q414" s="30"/>
      <c r="R414" s="30" t="str">
        <f>IF(B414=0,"",(((1/12)*'Imperial Data'!$AC$5*'Imperial Data'!$AC$7)-D414)*$H$6)</f>
        <v/>
      </c>
      <c r="S414" s="30"/>
      <c r="T414" s="30"/>
      <c r="U414" s="30"/>
      <c r="V414" s="30"/>
      <c r="W414" s="30" t="str">
        <f t="shared" si="68"/>
        <v/>
      </c>
      <c r="X414" s="31"/>
      <c r="Y414" s="30" t="str">
        <f t="shared" si="69"/>
        <v/>
      </c>
    </row>
    <row r="415" spans="2:25" x14ac:dyDescent="0.2">
      <c r="B415" s="34"/>
      <c r="C415" s="30" t="str">
        <f>IF(B415=0,"",IF('Imperial Data'!AG404&gt;=1, INDEX(Imperial_Incremental[], MATCH('Imperial Data'!AG404, Imperial_Incremental[Height], 1), MATCH('Cumulative Volumes Imperial'!$F$4, Imperial_Incremental[#Headers], 0)), 0))</f>
        <v/>
      </c>
      <c r="D415" s="30" t="str">
        <f>IF(B415=0,"",IF('Imperial Data'!AG404&gt;=1, INDEX(Imperial_Incremental[], MATCH('Imperial Data'!AG404, Imperial_Incremental[Height], 1), MATCH('Cumulative Volumes Imperial'!$F$4 &amp; "EC", Imperial_Incremental[#Headers], 0)), 0))</f>
        <v/>
      </c>
      <c r="E415" s="30"/>
      <c r="F415" s="30"/>
      <c r="G415" s="30" t="str">
        <f>IF(B415=0,"",IF('Cumulative Volumes Imperial'!$AQ$17=FALSE,I415,H415))</f>
        <v/>
      </c>
      <c r="H415" s="30"/>
      <c r="I415" s="30"/>
      <c r="J415" s="30" t="str">
        <f>IF(B415="","",IF('Cumulative Volumes Imperial'!$AQ$17=FALSE,L415,K415))</f>
        <v/>
      </c>
      <c r="K415" s="30"/>
      <c r="L415" s="30"/>
      <c r="M415" s="30" t="str">
        <f>IF($E$8+45+$E$9&gt;989,"FALSE",IF(B415="","",IF('Cumulative Volumes Imperial'!$AQ$17=FALSE,O415,N415)))</f>
        <v/>
      </c>
      <c r="N415" s="30"/>
      <c r="O415" s="30"/>
      <c r="P415" s="30" t="str">
        <f>IF(B415=0,"",(((1/12)*'Imperial Data'!$AC$4*'Imperial Data'!$AC$5)-C415)*$H$6)</f>
        <v/>
      </c>
      <c r="Q415" s="30"/>
      <c r="R415" s="30" t="str">
        <f>IF(B415=0,"",(((1/12)*'Imperial Data'!$AC$5*'Imperial Data'!$AC$7)-D415)*$H$6)</f>
        <v/>
      </c>
      <c r="S415" s="30"/>
      <c r="T415" s="30"/>
      <c r="U415" s="30"/>
      <c r="V415" s="30"/>
      <c r="W415" s="30" t="str">
        <f t="shared" si="68"/>
        <v/>
      </c>
      <c r="X415" s="31"/>
      <c r="Y415" s="30" t="str">
        <f t="shared" si="69"/>
        <v/>
      </c>
    </row>
    <row r="416" spans="2:25" x14ac:dyDescent="0.2">
      <c r="B416" s="34"/>
      <c r="C416" s="30" t="str">
        <f>IF(B416=0,"",IF('Imperial Data'!AG405&gt;=1, INDEX(Imperial_Incremental[], MATCH('Imperial Data'!AG405, Imperial_Incremental[Height], 1), MATCH('Cumulative Volumes Imperial'!$F$4, Imperial_Incremental[#Headers], 0)), 0))</f>
        <v/>
      </c>
      <c r="D416" s="30" t="str">
        <f>IF(B416=0,"",IF('Imperial Data'!AG405&gt;=1, INDEX(Imperial_Incremental[], MATCH('Imperial Data'!AG405, Imperial_Incremental[Height], 1), MATCH('Cumulative Volumes Imperial'!$F$4 &amp; "EC", Imperial_Incremental[#Headers], 0)), 0))</f>
        <v/>
      </c>
      <c r="E416" s="30"/>
      <c r="F416" s="30"/>
      <c r="G416" s="30" t="str">
        <f>IF(B416=0,"",IF('Cumulative Volumes Imperial'!$AQ$17=FALSE,I416,H416))</f>
        <v/>
      </c>
      <c r="H416" s="30"/>
      <c r="I416" s="30"/>
      <c r="J416" s="30" t="str">
        <f>IF(B416="","",IF('Cumulative Volumes Imperial'!$AQ$17=FALSE,L416,K416))</f>
        <v/>
      </c>
      <c r="K416" s="30"/>
      <c r="L416" s="30"/>
      <c r="M416" s="30" t="str">
        <f>IF($E$8+45+$E$9&gt;989,"FALSE",IF(B416="","",IF('Cumulative Volumes Imperial'!$AQ$17=FALSE,O416,N416)))</f>
        <v/>
      </c>
      <c r="N416" s="30"/>
      <c r="O416" s="30"/>
      <c r="P416" s="30" t="str">
        <f>IF(B416=0,"",(((1/12)*'Imperial Data'!$AC$4*'Imperial Data'!$AC$5)-C416)*$H$6)</f>
        <v/>
      </c>
      <c r="Q416" s="30"/>
      <c r="R416" s="30" t="str">
        <f>IF(B416=0,"",(((1/12)*'Imperial Data'!$AC$5*'Imperial Data'!$AC$7)-D416)*$H$6)</f>
        <v/>
      </c>
      <c r="S416" s="30"/>
      <c r="T416" s="30"/>
      <c r="U416" s="30"/>
      <c r="V416" s="30"/>
      <c r="W416" s="30" t="str">
        <f t="shared" si="68"/>
        <v/>
      </c>
      <c r="X416" s="31"/>
      <c r="Y416" s="30" t="str">
        <f t="shared" si="69"/>
        <v/>
      </c>
    </row>
    <row r="417" spans="2:25" x14ac:dyDescent="0.2">
      <c r="B417" s="34"/>
      <c r="C417" s="30" t="str">
        <f>IF(B417=0,"",IF('Imperial Data'!AG406&gt;=1, INDEX(Imperial_Incremental[], MATCH('Imperial Data'!AG406, Imperial_Incremental[Height], 1), MATCH('Cumulative Volumes Imperial'!$F$4, Imperial_Incremental[#Headers], 0)), 0))</f>
        <v/>
      </c>
      <c r="D417" s="30" t="str">
        <f>IF(B417=0,"",IF('Imperial Data'!AG406&gt;=1, INDEX(Imperial_Incremental[], MATCH('Imperial Data'!AG406, Imperial_Incremental[Height], 1), MATCH('Cumulative Volumes Imperial'!$F$4 &amp; "EC", Imperial_Incremental[#Headers], 0)), 0))</f>
        <v/>
      </c>
      <c r="E417" s="30"/>
      <c r="F417" s="30"/>
      <c r="G417" s="30" t="str">
        <f>IF(B417=0,"",IF('Cumulative Volumes Imperial'!$AQ$17=FALSE,I417,H417))</f>
        <v/>
      </c>
      <c r="H417" s="30"/>
      <c r="I417" s="30"/>
      <c r="J417" s="30" t="str">
        <f>IF(B417="","",IF('Cumulative Volumes Imperial'!$AQ$17=FALSE,L417,K417))</f>
        <v/>
      </c>
      <c r="K417" s="30"/>
      <c r="L417" s="30"/>
      <c r="M417" s="30" t="str">
        <f>IF($E$8+45+$E$9&gt;989,"FALSE",IF(B417="","",IF('Cumulative Volumes Imperial'!$AQ$17=FALSE,O417,N417)))</f>
        <v/>
      </c>
      <c r="N417" s="30"/>
      <c r="O417" s="30"/>
      <c r="P417" s="30" t="str">
        <f>IF(B417=0,"",(((1/12)*'Imperial Data'!$AC$4*'Imperial Data'!$AC$5)-C417)*$H$6)</f>
        <v/>
      </c>
      <c r="Q417" s="30"/>
      <c r="R417" s="30" t="str">
        <f>IF(B417=0,"",(((1/12)*'Imperial Data'!$AC$5*'Imperial Data'!$AC$7)-D417)*$H$6)</f>
        <v/>
      </c>
      <c r="S417" s="30"/>
      <c r="T417" s="30"/>
      <c r="U417" s="30"/>
      <c r="V417" s="30"/>
      <c r="W417" s="30" t="str">
        <f t="shared" si="68"/>
        <v/>
      </c>
      <c r="X417" s="31"/>
      <c r="Y417" s="30" t="str">
        <f t="shared" si="69"/>
        <v/>
      </c>
    </row>
    <row r="418" spans="2:25" x14ac:dyDescent="0.2">
      <c r="B418" s="34"/>
      <c r="C418" s="30" t="str">
        <f>IF(B418=0,"",IF('Imperial Data'!AG407&gt;=1, INDEX(Imperial_Incremental[], MATCH('Imperial Data'!AG407, Imperial_Incremental[Height], 1), MATCH('Cumulative Volumes Imperial'!$F$4, Imperial_Incremental[#Headers], 0)), 0))</f>
        <v/>
      </c>
      <c r="D418" s="30" t="str">
        <f>IF(B418=0,"",IF('Imperial Data'!AG407&gt;=1, INDEX(Imperial_Incremental[], MATCH('Imperial Data'!AG407, Imperial_Incremental[Height], 1), MATCH('Cumulative Volumes Imperial'!$F$4 &amp; "EC", Imperial_Incremental[#Headers], 0)), 0))</f>
        <v/>
      </c>
      <c r="E418" s="30"/>
      <c r="F418" s="30"/>
      <c r="G418" s="30" t="str">
        <f>IF(B418=0,"",IF('Cumulative Volumes Imperial'!$AQ$17=FALSE,I418,H418))</f>
        <v/>
      </c>
      <c r="H418" s="30"/>
      <c r="I418" s="30"/>
      <c r="J418" s="30" t="str">
        <f>IF(B418="","",IF('Cumulative Volumes Imperial'!$AQ$17=FALSE,L418,K418))</f>
        <v/>
      </c>
      <c r="K418" s="30"/>
      <c r="L418" s="30"/>
      <c r="M418" s="30" t="str">
        <f>IF($E$8+45+$E$9&gt;989,"FALSE",IF(B418="","",IF('Cumulative Volumes Imperial'!$AQ$17=FALSE,O418,N418)))</f>
        <v/>
      </c>
      <c r="N418" s="30"/>
      <c r="O418" s="30"/>
      <c r="P418" s="30" t="str">
        <f>IF(B418=0,"",(((1/12)*'Imperial Data'!$AC$4*'Imperial Data'!$AC$5)-C418)*$H$6)</f>
        <v/>
      </c>
      <c r="Q418" s="30"/>
      <c r="R418" s="30" t="str">
        <f>IF(B418=0,"",(((1/12)*'Imperial Data'!$AC$5*'Imperial Data'!$AC$7)-D418)*$H$6)</f>
        <v/>
      </c>
      <c r="S418" s="30"/>
      <c r="T418" s="30"/>
      <c r="U418" s="30"/>
      <c r="V418" s="30"/>
      <c r="W418" s="30" t="str">
        <f t="shared" si="68"/>
        <v/>
      </c>
      <c r="X418" s="31"/>
      <c r="Y418" s="30" t="str">
        <f t="shared" si="69"/>
        <v/>
      </c>
    </row>
    <row r="419" spans="2:25" x14ac:dyDescent="0.2">
      <c r="B419" s="34"/>
      <c r="C419" s="30" t="str">
        <f>IF(B419=0,"",IF('Imperial Data'!AG408&gt;=1, INDEX(Imperial_Incremental[], MATCH('Imperial Data'!AG408, Imperial_Incremental[Height], 1), MATCH('Cumulative Volumes Imperial'!$F$4, Imperial_Incremental[#Headers], 0)), 0))</f>
        <v/>
      </c>
      <c r="D419" s="30" t="str">
        <f>IF(B419=0,"",IF('Imperial Data'!AG408&gt;=1, INDEX(Imperial_Incremental[], MATCH('Imperial Data'!AG408, Imperial_Incremental[Height], 1), MATCH('Cumulative Volumes Imperial'!$F$4 &amp; "EC", Imperial_Incremental[#Headers], 0)), 0))</f>
        <v/>
      </c>
      <c r="E419" s="30"/>
      <c r="F419" s="30"/>
      <c r="G419" s="30" t="str">
        <f>IF(B419=0,"",IF('Cumulative Volumes Imperial'!$AQ$17=FALSE,I419,H419))</f>
        <v/>
      </c>
      <c r="H419" s="30"/>
      <c r="I419" s="30"/>
      <c r="J419" s="30" t="str">
        <f>IF(B419="","",IF('Cumulative Volumes Imperial'!$AQ$17=FALSE,L419,K419))</f>
        <v/>
      </c>
      <c r="K419" s="30"/>
      <c r="L419" s="30"/>
      <c r="M419" s="30" t="str">
        <f>IF($E$8+45+$E$9&gt;989,"FALSE",IF(B419="","",IF('Cumulative Volumes Imperial'!$AQ$17=FALSE,O419,N419)))</f>
        <v/>
      </c>
      <c r="N419" s="30"/>
      <c r="O419" s="30"/>
      <c r="P419" s="30" t="str">
        <f>IF(B419=0,"",(((1/12)*'Imperial Data'!$AC$4*'Imperial Data'!$AC$5)-C419)*$H$6)</f>
        <v/>
      </c>
      <c r="Q419" s="30"/>
      <c r="R419" s="30" t="str">
        <f>IF(B419=0,"",(((1/12)*'Imperial Data'!$AC$5*'Imperial Data'!$AC$7)-D419)*$H$6)</f>
        <v/>
      </c>
      <c r="S419" s="30"/>
      <c r="T419" s="30"/>
      <c r="U419" s="30"/>
      <c r="V419" s="30"/>
      <c r="W419" s="30" t="str">
        <f t="shared" si="68"/>
        <v/>
      </c>
      <c r="X419" s="31"/>
      <c r="Y419" s="30" t="str">
        <f t="shared" si="69"/>
        <v/>
      </c>
    </row>
    <row r="420" spans="2:25" x14ac:dyDescent="0.2">
      <c r="B420" s="34"/>
      <c r="C420" s="30" t="str">
        <f>IF(B420=0,"",IF('Imperial Data'!AG409&gt;=1, INDEX(Imperial_Incremental[], MATCH('Imperial Data'!AG409, Imperial_Incremental[Height], 1), MATCH('Cumulative Volumes Imperial'!$F$4, Imperial_Incremental[#Headers], 0)), 0))</f>
        <v/>
      </c>
      <c r="D420" s="30" t="str">
        <f>IF(B420=0,"",IF('Imperial Data'!AG409&gt;=1, INDEX(Imperial_Incremental[], MATCH('Imperial Data'!AG409, Imperial_Incremental[Height], 1), MATCH('Cumulative Volumes Imperial'!$F$4 &amp; "EC", Imperial_Incremental[#Headers], 0)), 0))</f>
        <v/>
      </c>
      <c r="E420" s="30"/>
      <c r="F420" s="30"/>
      <c r="G420" s="30" t="str">
        <f>IF(B420=0,"",IF('Cumulative Volumes Imperial'!$AQ$17=FALSE,I420,H420))</f>
        <v/>
      </c>
      <c r="H420" s="30"/>
      <c r="I420" s="30"/>
      <c r="J420" s="30" t="str">
        <f>IF(B420="","",IF('Cumulative Volumes Imperial'!$AQ$17=FALSE,L420,K420))</f>
        <v/>
      </c>
      <c r="K420" s="30"/>
      <c r="L420" s="30"/>
      <c r="M420" s="30" t="str">
        <f>IF($E$8+45+$E$9&gt;989,"FALSE",IF(B420="","",IF('Cumulative Volumes Imperial'!$AQ$17=FALSE,O420,N420)))</f>
        <v/>
      </c>
      <c r="N420" s="30"/>
      <c r="O420" s="30"/>
      <c r="P420" s="30" t="str">
        <f>IF(B420=0,"",(((1/12)*'Imperial Data'!$AC$4*'Imperial Data'!$AC$5)-C420)*$H$6)</f>
        <v/>
      </c>
      <c r="Q420" s="30"/>
      <c r="R420" s="30" t="str">
        <f>IF(B420=0,"",(((1/12)*'Imperial Data'!$AC$5*'Imperial Data'!$AC$7)-D420)*$H$6)</f>
        <v/>
      </c>
      <c r="S420" s="30"/>
      <c r="T420" s="30"/>
      <c r="U420" s="30"/>
      <c r="V420" s="30"/>
      <c r="W420" s="30" t="str">
        <f t="shared" si="68"/>
        <v/>
      </c>
      <c r="X420" s="31"/>
      <c r="Y420" s="30" t="str">
        <f t="shared" si="69"/>
        <v/>
      </c>
    </row>
    <row r="421" spans="2:25" x14ac:dyDescent="0.2">
      <c r="B421" s="34"/>
      <c r="C421" s="30" t="str">
        <f>IF(B421=0,"",IF('Imperial Data'!AG410&gt;=1, INDEX(Imperial_Incremental[], MATCH('Imperial Data'!AG410, Imperial_Incremental[Height], 1), MATCH('Cumulative Volumes Imperial'!$F$4, Imperial_Incremental[#Headers], 0)), 0))</f>
        <v/>
      </c>
      <c r="D421" s="30" t="str">
        <f>IF(B421=0,"",IF('Imperial Data'!AG410&gt;=1, INDEX(Imperial_Incremental[], MATCH('Imperial Data'!AG410, Imperial_Incremental[Height], 1), MATCH('Cumulative Volumes Imperial'!$F$4 &amp; "EC", Imperial_Incremental[#Headers], 0)), 0))</f>
        <v/>
      </c>
      <c r="E421" s="30"/>
      <c r="F421" s="30"/>
      <c r="G421" s="30" t="str">
        <f>IF(B421=0,"",IF('Cumulative Volumes Imperial'!$AQ$17=FALSE,I421,H421))</f>
        <v/>
      </c>
      <c r="H421" s="30"/>
      <c r="I421" s="30"/>
      <c r="J421" s="30" t="str">
        <f>IF(B421="","",IF('Cumulative Volumes Imperial'!$AQ$17=FALSE,L421,K421))</f>
        <v/>
      </c>
      <c r="K421" s="30"/>
      <c r="L421" s="30"/>
      <c r="M421" s="30" t="str">
        <f>IF($E$8+45+$E$9&gt;989,"FALSE",IF(B421="","",IF('Cumulative Volumes Imperial'!$AQ$17=FALSE,O421,N421)))</f>
        <v/>
      </c>
      <c r="N421" s="30"/>
      <c r="O421" s="30"/>
      <c r="P421" s="30" t="str">
        <f>IF(B421=0,"",(((1/12)*'Imperial Data'!$AC$4*'Imperial Data'!$AC$5)-C421)*$H$6)</f>
        <v/>
      </c>
      <c r="Q421" s="30"/>
      <c r="R421" s="30" t="str">
        <f>IF(B421=0,"",(((1/12)*'Imperial Data'!$AC$5*'Imperial Data'!$AC$7)-D421)*$H$6)</f>
        <v/>
      </c>
      <c r="S421" s="30"/>
      <c r="T421" s="30"/>
      <c r="U421" s="30"/>
      <c r="V421" s="30"/>
      <c r="W421" s="30" t="str">
        <f t="shared" si="68"/>
        <v/>
      </c>
      <c r="X421" s="31"/>
      <c r="Y421" s="30" t="str">
        <f t="shared" si="69"/>
        <v/>
      </c>
    </row>
    <row r="422" spans="2:25" x14ac:dyDescent="0.2">
      <c r="B422" s="34"/>
      <c r="C422" s="30" t="str">
        <f>IF(B422=0,"",IF('Imperial Data'!AG411&gt;=1, INDEX(Imperial_Incremental[], MATCH('Imperial Data'!AG411, Imperial_Incremental[Height], 1), MATCH('Cumulative Volumes Imperial'!$F$4, Imperial_Incremental[#Headers], 0)), 0))</f>
        <v/>
      </c>
      <c r="D422" s="30" t="str">
        <f>IF(B422=0,"",IF('Imperial Data'!AG411&gt;=1, INDEX(Imperial_Incremental[], MATCH('Imperial Data'!AG411, Imperial_Incremental[Height], 1), MATCH('Cumulative Volumes Imperial'!$F$4 &amp; "EC", Imperial_Incremental[#Headers], 0)), 0))</f>
        <v/>
      </c>
      <c r="E422" s="30"/>
      <c r="F422" s="30"/>
      <c r="G422" s="30" t="str">
        <f>IF(B422=0,"",IF('Cumulative Volumes Imperial'!$AQ$17=FALSE,I422,H422))</f>
        <v/>
      </c>
      <c r="H422" s="30"/>
      <c r="I422" s="30"/>
      <c r="J422" s="30" t="str">
        <f>IF(B422="","",IF('Cumulative Volumes Imperial'!$AQ$17=FALSE,L422,K422))</f>
        <v/>
      </c>
      <c r="K422" s="30"/>
      <c r="L422" s="30"/>
      <c r="M422" s="30" t="str">
        <f>IF($E$8+45+$E$9&gt;989,"FALSE",IF(B422="","",IF('Cumulative Volumes Imperial'!$AQ$17=FALSE,O422,N422)))</f>
        <v/>
      </c>
      <c r="N422" s="30"/>
      <c r="O422" s="30"/>
      <c r="P422" s="30" t="str">
        <f>IF(B422=0,"",(((1/12)*'Imperial Data'!$AC$4*'Imperial Data'!$AC$5)-C422)*$H$6)</f>
        <v/>
      </c>
      <c r="Q422" s="30"/>
      <c r="R422" s="30" t="str">
        <f>IF(B422=0,"",(((1/12)*'Imperial Data'!$AC$5*'Imperial Data'!$AC$7)-D422)*$H$6)</f>
        <v/>
      </c>
      <c r="S422" s="30"/>
      <c r="T422" s="30"/>
      <c r="U422" s="30"/>
      <c r="V422" s="30"/>
      <c r="W422" s="30" t="str">
        <f t="shared" si="68"/>
        <v/>
      </c>
      <c r="X422" s="31"/>
      <c r="Y422" s="30" t="str">
        <f t="shared" si="69"/>
        <v/>
      </c>
    </row>
    <row r="423" spans="2:25" x14ac:dyDescent="0.2">
      <c r="B423" s="34"/>
      <c r="C423" s="30" t="str">
        <f>IF(B423=0,"",IF('Imperial Data'!AG412&gt;=1, INDEX(Imperial_Incremental[], MATCH('Imperial Data'!AG412, Imperial_Incremental[Height], 1), MATCH('Cumulative Volumes Imperial'!$F$4, Imperial_Incremental[#Headers], 0)), 0))</f>
        <v/>
      </c>
      <c r="D423" s="30" t="str">
        <f>IF(B423=0,"",IF('Imperial Data'!AG412&gt;=1, INDEX(Imperial_Incremental[], MATCH('Imperial Data'!AG412, Imperial_Incremental[Height], 1), MATCH('Cumulative Volumes Imperial'!$F$4 &amp; "EC", Imperial_Incremental[#Headers], 0)), 0))</f>
        <v/>
      </c>
      <c r="E423" s="30"/>
      <c r="F423" s="30"/>
      <c r="G423" s="30" t="str">
        <f>IF(B423=0,"",IF('Cumulative Volumes Imperial'!$AQ$17=FALSE,I423,H423))</f>
        <v/>
      </c>
      <c r="H423" s="30"/>
      <c r="I423" s="30"/>
      <c r="J423" s="30" t="str">
        <f>IF(B423="","",IF('Cumulative Volumes Imperial'!$AQ$17=FALSE,L423,K423))</f>
        <v/>
      </c>
      <c r="K423" s="30"/>
      <c r="L423" s="30"/>
      <c r="M423" s="30" t="str">
        <f>IF($E$8+45+$E$9&gt;989,"FALSE",IF(B423="","",IF('Cumulative Volumes Imperial'!$AQ$17=FALSE,O423,N423)))</f>
        <v/>
      </c>
      <c r="N423" s="30"/>
      <c r="O423" s="30"/>
      <c r="P423" s="30" t="str">
        <f>IF(B423=0,"",(((1/12)*'Imperial Data'!$AC$4*'Imperial Data'!$AC$5)-C423)*$H$6)</f>
        <v/>
      </c>
      <c r="Q423" s="30"/>
      <c r="R423" s="30" t="str">
        <f>IF(B423=0,"",(((1/12)*'Imperial Data'!$AC$5*'Imperial Data'!$AC$7)-D423)*$H$6)</f>
        <v/>
      </c>
      <c r="S423" s="30"/>
      <c r="T423" s="30"/>
      <c r="U423" s="30"/>
      <c r="V423" s="30"/>
      <c r="W423" s="30" t="str">
        <f t="shared" si="68"/>
        <v/>
      </c>
      <c r="X423" s="31"/>
      <c r="Y423" s="30" t="str">
        <f t="shared" si="69"/>
        <v/>
      </c>
    </row>
    <row r="424" spans="2:25" x14ac:dyDescent="0.2">
      <c r="B424" s="34"/>
      <c r="C424" s="30" t="str">
        <f>IF(B424=0,"",IF('Imperial Data'!AG413&gt;=1, INDEX(Imperial_Incremental[], MATCH('Imperial Data'!AG413, Imperial_Incremental[Height], 1), MATCH('Cumulative Volumes Imperial'!$F$4, Imperial_Incremental[#Headers], 0)), 0))</f>
        <v/>
      </c>
      <c r="D424" s="30" t="str">
        <f>IF(B424=0,"",IF('Imperial Data'!AG413&gt;=1, INDEX(Imperial_Incremental[], MATCH('Imperial Data'!AG413, Imperial_Incremental[Height], 1), MATCH('Cumulative Volumes Imperial'!$F$4 &amp; "EC", Imperial_Incremental[#Headers], 0)), 0))</f>
        <v/>
      </c>
      <c r="E424" s="30"/>
      <c r="F424" s="30"/>
      <c r="G424" s="30" t="str">
        <f>IF(B424=0,"",IF('Cumulative Volumes Imperial'!$AQ$17=FALSE,I424,H424))</f>
        <v/>
      </c>
      <c r="H424" s="30"/>
      <c r="I424" s="30"/>
      <c r="J424" s="30" t="str">
        <f>IF(B424="","",IF('Cumulative Volumes Imperial'!$AQ$17=FALSE,L424,K424))</f>
        <v/>
      </c>
      <c r="K424" s="30"/>
      <c r="L424" s="30"/>
      <c r="M424" s="30" t="str">
        <f>IF($E$8+45+$E$9&gt;989,"FALSE",IF(B424="","",IF('Cumulative Volumes Imperial'!$AQ$17=FALSE,O424,N424)))</f>
        <v/>
      </c>
      <c r="N424" s="30"/>
      <c r="O424" s="30"/>
      <c r="P424" s="30" t="str">
        <f>IF(B424=0,"",(((1/12)*'Imperial Data'!$AC$4*'Imperial Data'!$AC$5)-C424)*$H$6)</f>
        <v/>
      </c>
      <c r="Q424" s="30"/>
      <c r="R424" s="30" t="str">
        <f>IF(B424=0,"",(((1/12)*'Imperial Data'!$AC$5*'Imperial Data'!$AC$7)-D424)*$H$6)</f>
        <v/>
      </c>
      <c r="S424" s="30"/>
      <c r="T424" s="30"/>
      <c r="U424" s="30"/>
      <c r="V424" s="30"/>
      <c r="W424" s="30" t="str">
        <f t="shared" si="68"/>
        <v/>
      </c>
      <c r="X424" s="31"/>
      <c r="Y424" s="30" t="str">
        <f t="shared" si="69"/>
        <v/>
      </c>
    </row>
    <row r="425" spans="2:25" x14ac:dyDescent="0.2">
      <c r="B425" s="34"/>
      <c r="C425" s="30" t="str">
        <f>IF(B425=0,"",IF('Imperial Data'!AG414&gt;=1, INDEX(Imperial_Incremental[], MATCH('Imperial Data'!AG414, Imperial_Incremental[Height], 1), MATCH('Cumulative Volumes Imperial'!$F$4, Imperial_Incremental[#Headers], 0)), 0))</f>
        <v/>
      </c>
      <c r="D425" s="30" t="str">
        <f>IF(B425=0,"",IF('Imperial Data'!AG414&gt;=1, INDEX(Imperial_Incremental[], MATCH('Imperial Data'!AG414, Imperial_Incremental[Height], 1), MATCH('Cumulative Volumes Imperial'!$F$4 &amp; "EC", Imperial_Incremental[#Headers], 0)), 0))</f>
        <v/>
      </c>
      <c r="E425" s="30"/>
      <c r="F425" s="30"/>
      <c r="G425" s="30" t="str">
        <f>IF(B425=0,"",IF('Cumulative Volumes Imperial'!$AQ$17=FALSE,I425,H425))</f>
        <v/>
      </c>
      <c r="H425" s="30"/>
      <c r="I425" s="30"/>
      <c r="J425" s="30" t="str">
        <f>IF(B425="","",IF('Cumulative Volumes Imperial'!$AQ$17=FALSE,L425,K425))</f>
        <v/>
      </c>
      <c r="K425" s="30"/>
      <c r="L425" s="30"/>
      <c r="M425" s="30" t="str">
        <f>IF($E$8+45+$E$9&gt;989,"FALSE",IF(B425="","",IF('Cumulative Volumes Imperial'!$AQ$17=FALSE,O425,N425)))</f>
        <v/>
      </c>
      <c r="N425" s="30"/>
      <c r="O425" s="30"/>
      <c r="P425" s="30" t="str">
        <f>IF(B425=0,"",(((1/12)*'Imperial Data'!$AC$4*'Imperial Data'!$AC$5)-C425)*$H$6)</f>
        <v/>
      </c>
      <c r="Q425" s="30"/>
      <c r="R425" s="30" t="str">
        <f>IF(B425=0,"",(((1/12)*'Imperial Data'!$AC$5*'Imperial Data'!$AC$7)-D425)*$H$6)</f>
        <v/>
      </c>
      <c r="S425" s="30"/>
      <c r="T425" s="30"/>
      <c r="U425" s="30"/>
      <c r="V425" s="30"/>
      <c r="W425" s="30" t="str">
        <f t="shared" si="68"/>
        <v/>
      </c>
      <c r="X425" s="31"/>
      <c r="Y425" s="30" t="str">
        <f t="shared" si="69"/>
        <v/>
      </c>
    </row>
    <row r="426" spans="2:25" x14ac:dyDescent="0.2">
      <c r="B426" s="34"/>
      <c r="C426" s="30" t="str">
        <f>IF(B426=0,"",IF('Imperial Data'!AG415&gt;=1, INDEX(Imperial_Incremental[], MATCH('Imperial Data'!AG415, Imperial_Incremental[Height], 1), MATCH('Cumulative Volumes Imperial'!$F$4, Imperial_Incremental[#Headers], 0)), 0))</f>
        <v/>
      </c>
      <c r="D426" s="30" t="str">
        <f>IF(B426=0,"",IF('Imperial Data'!AG415&gt;=1, INDEX(Imperial_Incremental[], MATCH('Imperial Data'!AG415, Imperial_Incremental[Height], 1), MATCH('Cumulative Volumes Imperial'!$F$4 &amp; "EC", Imperial_Incremental[#Headers], 0)), 0))</f>
        <v/>
      </c>
      <c r="E426" s="30"/>
      <c r="F426" s="30"/>
      <c r="G426" s="30" t="str">
        <f>IF(B426=0,"",IF('Cumulative Volumes Imperial'!$AQ$17=FALSE,I426,H426))</f>
        <v/>
      </c>
      <c r="H426" s="30"/>
      <c r="I426" s="30"/>
      <c r="J426" s="30" t="str">
        <f>IF(B426="","",IF('Cumulative Volumes Imperial'!$AQ$17=FALSE,L426,K426))</f>
        <v/>
      </c>
      <c r="K426" s="30"/>
      <c r="L426" s="30"/>
      <c r="M426" s="30" t="str">
        <f>IF($E$8+45+$E$9&gt;989,"FALSE",IF(B426="","",IF('Cumulative Volumes Imperial'!$AQ$17=FALSE,O426,N426)))</f>
        <v/>
      </c>
      <c r="N426" s="30"/>
      <c r="O426" s="30"/>
      <c r="P426" s="30" t="str">
        <f>IF(B426=0,"",(((1/12)*'Imperial Data'!$AC$4*'Imperial Data'!$AC$5)-C426)*$H$6)</f>
        <v/>
      </c>
      <c r="Q426" s="30"/>
      <c r="R426" s="30" t="str">
        <f>IF(B426=0,"",(((1/12)*'Imperial Data'!$AC$5*'Imperial Data'!$AC$7)-D426)*$H$6)</f>
        <v/>
      </c>
      <c r="S426" s="30"/>
      <c r="T426" s="30"/>
      <c r="U426" s="30"/>
      <c r="V426" s="30"/>
      <c r="W426" s="30" t="str">
        <f t="shared" si="68"/>
        <v/>
      </c>
      <c r="X426" s="31"/>
      <c r="Y426" s="30" t="str">
        <f t="shared" si="69"/>
        <v/>
      </c>
    </row>
    <row r="427" spans="2:25" x14ac:dyDescent="0.2">
      <c r="B427" s="34"/>
      <c r="C427" s="30" t="str">
        <f>IF(B427=0,"",IF('Imperial Data'!AG416&gt;=1, INDEX(Imperial_Incremental[], MATCH('Imperial Data'!AG416, Imperial_Incremental[Height], 1), MATCH('Cumulative Volumes Imperial'!$F$4, Imperial_Incremental[#Headers], 0)), 0))</f>
        <v/>
      </c>
      <c r="D427" s="30" t="str">
        <f>IF(B427=0,"",IF('Imperial Data'!AG416&gt;=1, INDEX(Imperial_Incremental[], MATCH('Imperial Data'!AG416, Imperial_Incremental[Height], 1), MATCH('Cumulative Volumes Imperial'!$F$4 &amp; "EC", Imperial_Incremental[#Headers], 0)), 0))</f>
        <v/>
      </c>
      <c r="E427" s="30"/>
      <c r="F427" s="30"/>
      <c r="G427" s="30" t="str">
        <f>IF(B427=0,"",IF('Cumulative Volumes Imperial'!$AQ$17=FALSE,I427,H427))</f>
        <v/>
      </c>
      <c r="H427" s="30"/>
      <c r="I427" s="30"/>
      <c r="J427" s="30" t="str">
        <f>IF(B427="","",IF('Cumulative Volumes Imperial'!$AQ$17=FALSE,L427,K427))</f>
        <v/>
      </c>
      <c r="K427" s="30"/>
      <c r="L427" s="30"/>
      <c r="M427" s="30" t="str">
        <f>IF($E$8+45+$E$9&gt;989,"FALSE",IF(B427="","",IF('Cumulative Volumes Imperial'!$AQ$17=FALSE,O427,N427)))</f>
        <v/>
      </c>
      <c r="N427" s="30"/>
      <c r="O427" s="30"/>
      <c r="P427" s="30" t="str">
        <f>IF(B427=0,"",(((1/12)*'Imperial Data'!$AC$4*'Imperial Data'!$AC$5)-C427)*$H$6)</f>
        <v/>
      </c>
      <c r="Q427" s="30"/>
      <c r="R427" s="30" t="str">
        <f>IF(B427=0,"",(((1/12)*'Imperial Data'!$AC$5*'Imperial Data'!$AC$7)-D427)*$H$6)</f>
        <v/>
      </c>
      <c r="S427" s="30"/>
      <c r="T427" s="30"/>
      <c r="U427" s="30"/>
      <c r="V427" s="30"/>
      <c r="W427" s="30" t="str">
        <f t="shared" si="68"/>
        <v/>
      </c>
      <c r="X427" s="31"/>
      <c r="Y427" s="30" t="str">
        <f t="shared" si="69"/>
        <v/>
      </c>
    </row>
    <row r="428" spans="2:25" x14ac:dyDescent="0.2">
      <c r="B428" s="34"/>
      <c r="C428" s="30" t="str">
        <f>IF(B428=0,"",IF('Imperial Data'!AG417&gt;=1, INDEX(Imperial_Incremental[], MATCH('Imperial Data'!AG417, Imperial_Incremental[Height], 1), MATCH('Cumulative Volumes Imperial'!$F$4, Imperial_Incremental[#Headers], 0)), 0))</f>
        <v/>
      </c>
      <c r="D428" s="30" t="str">
        <f>IF(B428=0,"",IF('Imperial Data'!AG417&gt;=1, INDEX(Imperial_Incremental[], MATCH('Imperial Data'!AG417, Imperial_Incremental[Height], 1), MATCH('Cumulative Volumes Imperial'!$F$4 &amp; "EC", Imperial_Incremental[#Headers], 0)), 0))</f>
        <v/>
      </c>
      <c r="E428" s="30"/>
      <c r="F428" s="30"/>
      <c r="G428" s="30" t="str">
        <f>IF(B428=0,"",IF('Cumulative Volumes Imperial'!$AQ$17=FALSE,I428,H428))</f>
        <v/>
      </c>
      <c r="H428" s="30"/>
      <c r="I428" s="30"/>
      <c r="J428" s="30" t="str">
        <f>IF(B428="","",IF('Cumulative Volumes Imperial'!$AQ$17=FALSE,L428,K428))</f>
        <v/>
      </c>
      <c r="K428" s="30"/>
      <c r="L428" s="30"/>
      <c r="M428" s="30" t="str">
        <f>IF($E$8+45+$E$9&gt;989,"FALSE",IF(B428="","",IF('Cumulative Volumes Imperial'!$AQ$17=FALSE,O428,N428)))</f>
        <v/>
      </c>
      <c r="N428" s="30"/>
      <c r="O428" s="30"/>
      <c r="P428" s="30" t="str">
        <f>IF(B428=0,"",(((1/12)*'Imperial Data'!$AC$4*'Imperial Data'!$AC$5)-C428)*$H$6)</f>
        <v/>
      </c>
      <c r="Q428" s="30"/>
      <c r="R428" s="30" t="str">
        <f>IF(B428=0,"",(((1/12)*'Imperial Data'!$AC$5*'Imperial Data'!$AC$7)-D428)*$H$6)</f>
        <v/>
      </c>
      <c r="S428" s="30"/>
      <c r="T428" s="30"/>
      <c r="U428" s="30"/>
      <c r="V428" s="30"/>
      <c r="W428" s="30" t="str">
        <f t="shared" si="68"/>
        <v/>
      </c>
      <c r="X428" s="31"/>
      <c r="Y428" s="30" t="str">
        <f t="shared" si="69"/>
        <v/>
      </c>
    </row>
    <row r="429" spans="2:25" x14ac:dyDescent="0.2">
      <c r="B429" s="34"/>
      <c r="C429" s="30" t="str">
        <f>IF(B429=0,"",IF('Imperial Data'!AG418&gt;=1, INDEX(Imperial_Incremental[], MATCH('Imperial Data'!AG418, Imperial_Incremental[Height], 1), MATCH('Cumulative Volumes Imperial'!$F$4, Imperial_Incremental[#Headers], 0)), 0))</f>
        <v/>
      </c>
      <c r="D429" s="30" t="str">
        <f>IF(B429=0,"",IF('Imperial Data'!AG418&gt;=1, INDEX(Imperial_Incremental[], MATCH('Imperial Data'!AG418, Imperial_Incremental[Height], 1), MATCH('Cumulative Volumes Imperial'!$F$4 &amp; "EC", Imperial_Incremental[#Headers], 0)), 0))</f>
        <v/>
      </c>
      <c r="E429" s="30"/>
      <c r="F429" s="30"/>
      <c r="G429" s="30" t="str">
        <f>IF(B429=0,"",IF('Cumulative Volumes Imperial'!$AQ$17=FALSE,I429,H429))</f>
        <v/>
      </c>
      <c r="H429" s="30"/>
      <c r="I429" s="30"/>
      <c r="J429" s="30" t="str">
        <f>IF(B429="","",IF('Cumulative Volumes Imperial'!$AQ$17=FALSE,L429,K429))</f>
        <v/>
      </c>
      <c r="K429" s="30"/>
      <c r="L429" s="30"/>
      <c r="M429" s="30" t="str">
        <f>IF($E$8+45+$E$9&gt;989,"FALSE",IF(B429="","",IF('Cumulative Volumes Imperial'!$AQ$17=FALSE,O429,N429)))</f>
        <v/>
      </c>
      <c r="N429" s="30"/>
      <c r="O429" s="30"/>
      <c r="P429" s="30" t="str">
        <f>IF(B429=0,"",(((1/12)*'Imperial Data'!$AC$4*'Imperial Data'!$AC$5)-C429)*$H$6)</f>
        <v/>
      </c>
      <c r="Q429" s="30"/>
      <c r="R429" s="30" t="str">
        <f>IF(B429=0,"",(((1/12)*'Imperial Data'!$AC$5*'Imperial Data'!$AC$7)-D429)*$H$6)</f>
        <v/>
      </c>
      <c r="S429" s="30"/>
      <c r="T429" s="30"/>
      <c r="U429" s="30"/>
      <c r="V429" s="30"/>
      <c r="W429" s="30" t="str">
        <f t="shared" si="68"/>
        <v/>
      </c>
      <c r="X429" s="31"/>
      <c r="Y429" s="30" t="str">
        <f t="shared" si="69"/>
        <v/>
      </c>
    </row>
    <row r="430" spans="2:25" x14ac:dyDescent="0.2">
      <c r="B430" s="34"/>
      <c r="C430" s="30" t="str">
        <f>IF(B430=0,"",IF('Imperial Data'!AG419&gt;=1, INDEX(Imperial_Incremental[], MATCH('Imperial Data'!AG419, Imperial_Incremental[Height], 1), MATCH('Cumulative Volumes Imperial'!$F$4, Imperial_Incremental[#Headers], 0)), 0))</f>
        <v/>
      </c>
      <c r="D430" s="30" t="str">
        <f>IF(B430=0,"",IF('Imperial Data'!AG419&gt;=1, INDEX(Imperial_Incremental[], MATCH('Imperial Data'!AG419, Imperial_Incremental[Height], 1), MATCH('Cumulative Volumes Imperial'!$F$4 &amp; "EC", Imperial_Incremental[#Headers], 0)), 0))</f>
        <v/>
      </c>
      <c r="E430" s="30"/>
      <c r="F430" s="30"/>
      <c r="G430" s="30" t="str">
        <f>IF(B430=0,"",IF('Cumulative Volumes Imperial'!$AQ$17=FALSE,I430,H430))</f>
        <v/>
      </c>
      <c r="H430" s="30"/>
      <c r="I430" s="30"/>
      <c r="J430" s="30" t="str">
        <f>IF(B430="","",IF('Cumulative Volumes Imperial'!$AQ$17=FALSE,L430,K430))</f>
        <v/>
      </c>
      <c r="K430" s="30"/>
      <c r="L430" s="30"/>
      <c r="M430" s="30" t="str">
        <f>IF($E$8+45+$E$9&gt;989,"FALSE",IF(B430="","",IF('Cumulative Volumes Imperial'!$AQ$17=FALSE,O430,N430)))</f>
        <v/>
      </c>
      <c r="N430" s="30"/>
      <c r="O430" s="30"/>
      <c r="P430" s="30" t="str">
        <f>IF(B430=0,"",(((1/12)*'Imperial Data'!$AC$4*'Imperial Data'!$AC$5)-C430)*$H$6)</f>
        <v/>
      </c>
      <c r="Q430" s="30"/>
      <c r="R430" s="30" t="str">
        <f>IF(B430=0,"",(((1/12)*'Imperial Data'!$AC$5*'Imperial Data'!$AC$7)-D430)*$H$6)</f>
        <v/>
      </c>
      <c r="S430" s="30"/>
      <c r="T430" s="30"/>
      <c r="U430" s="30"/>
      <c r="V430" s="30"/>
      <c r="W430" s="30" t="str">
        <f t="shared" si="68"/>
        <v/>
      </c>
      <c r="X430" s="31"/>
      <c r="Y430" s="30" t="str">
        <f t="shared" si="69"/>
        <v/>
      </c>
    </row>
    <row r="431" spans="2:25" x14ac:dyDescent="0.2">
      <c r="B431" s="34"/>
      <c r="C431" s="30" t="str">
        <f>IF(B431=0,"",IF('Imperial Data'!AG420&gt;=1, INDEX(Imperial_Incremental[], MATCH('Imperial Data'!AG420, Imperial_Incremental[Height], 1), MATCH('Cumulative Volumes Imperial'!$F$4, Imperial_Incremental[#Headers], 0)), 0))</f>
        <v/>
      </c>
      <c r="D431" s="30" t="str">
        <f>IF(B431=0,"",IF('Imperial Data'!AG420&gt;=1, INDEX(Imperial_Incremental[], MATCH('Imperial Data'!AG420, Imperial_Incremental[Height], 1), MATCH('Cumulative Volumes Imperial'!$F$4 &amp; "EC", Imperial_Incremental[#Headers], 0)), 0))</f>
        <v/>
      </c>
      <c r="E431" s="30"/>
      <c r="F431" s="30"/>
      <c r="G431" s="30" t="str">
        <f>IF(B431=0,"",IF('Cumulative Volumes Imperial'!$AQ$17=FALSE,I431,H431))</f>
        <v/>
      </c>
      <c r="H431" s="30"/>
      <c r="I431" s="30"/>
      <c r="J431" s="30" t="str">
        <f>IF(B431="","",IF('Cumulative Volumes Imperial'!$AQ$17=FALSE,L431,K431))</f>
        <v/>
      </c>
      <c r="K431" s="30"/>
      <c r="L431" s="30"/>
      <c r="M431" s="30" t="str">
        <f>IF($E$8+45+$E$9&gt;989,"FALSE",IF(B431="","",IF('Cumulative Volumes Imperial'!$AQ$17=FALSE,O431,N431)))</f>
        <v/>
      </c>
      <c r="N431" s="30"/>
      <c r="O431" s="30"/>
      <c r="P431" s="30" t="str">
        <f>IF(B431=0,"",(((1/12)*'Imperial Data'!$AC$4*'Imperial Data'!$AC$5)-C431)*$H$6)</f>
        <v/>
      </c>
      <c r="Q431" s="30"/>
      <c r="R431" s="30" t="str">
        <f>IF(B431=0,"",(((1/12)*'Imperial Data'!$AC$5*'Imperial Data'!$AC$7)-D431)*$H$6)</f>
        <v/>
      </c>
      <c r="S431" s="30"/>
      <c r="T431" s="30"/>
      <c r="U431" s="30"/>
      <c r="V431" s="30"/>
      <c r="W431" s="30" t="str">
        <f t="shared" si="68"/>
        <v/>
      </c>
      <c r="X431" s="31"/>
      <c r="Y431" s="30" t="str">
        <f t="shared" si="69"/>
        <v/>
      </c>
    </row>
    <row r="432" spans="2:25" x14ac:dyDescent="0.2">
      <c r="B432" s="34"/>
      <c r="C432" s="30" t="str">
        <f>IF(B432=0,"",IF('Imperial Data'!AG421&gt;=1, INDEX(Imperial_Incremental[], MATCH('Imperial Data'!AG421, Imperial_Incremental[Height], 1), MATCH('Cumulative Volumes Imperial'!$F$4, Imperial_Incremental[#Headers], 0)), 0))</f>
        <v/>
      </c>
      <c r="D432" s="30" t="str">
        <f>IF(B432=0,"",IF('Imperial Data'!AG421&gt;=1, INDEX(Imperial_Incremental[], MATCH('Imperial Data'!AG421, Imperial_Incremental[Height], 1), MATCH('Cumulative Volumes Imperial'!$F$4 &amp; "EC", Imperial_Incremental[#Headers], 0)), 0))</f>
        <v/>
      </c>
      <c r="E432" s="30"/>
      <c r="F432" s="30"/>
      <c r="G432" s="30" t="str">
        <f>IF(B432=0,"",IF('Cumulative Volumes Imperial'!$AQ$17=FALSE,I432,H432))</f>
        <v/>
      </c>
      <c r="H432" s="30"/>
      <c r="I432" s="30"/>
      <c r="J432" s="30" t="str">
        <f>IF(B432="","",IF('Cumulative Volumes Imperial'!$AQ$17=FALSE,L432,K432))</f>
        <v/>
      </c>
      <c r="K432" s="30"/>
      <c r="L432" s="30"/>
      <c r="M432" s="30" t="str">
        <f>IF($E$8+45+$E$9&gt;989,"FALSE",IF(B432="","",IF('Cumulative Volumes Imperial'!$AQ$17=FALSE,O432,N432)))</f>
        <v/>
      </c>
      <c r="N432" s="30"/>
      <c r="O432" s="30"/>
      <c r="P432" s="30" t="str">
        <f>IF(B432=0,"",(((1/12)*'Imperial Data'!$AC$4*'Imperial Data'!$AC$5)-C432)*$H$6)</f>
        <v/>
      </c>
      <c r="Q432" s="30"/>
      <c r="R432" s="30" t="str">
        <f>IF(B432=0,"",(((1/12)*'Imperial Data'!$AC$5*'Imperial Data'!$AC$7)-D432)*$H$6)</f>
        <v/>
      </c>
      <c r="S432" s="30"/>
      <c r="T432" s="30"/>
      <c r="U432" s="30"/>
      <c r="V432" s="30"/>
      <c r="W432" s="30" t="str">
        <f t="shared" si="68"/>
        <v/>
      </c>
      <c r="X432" s="31"/>
      <c r="Y432" s="30" t="str">
        <f t="shared" si="69"/>
        <v/>
      </c>
    </row>
    <row r="433" spans="2:25" x14ac:dyDescent="0.2">
      <c r="B433" s="34"/>
      <c r="C433" s="30" t="str">
        <f>IF(B433=0,"",IF('Imperial Data'!AG422&gt;=1, INDEX(Imperial_Incremental[], MATCH('Imperial Data'!AG422, Imperial_Incremental[Height], 1), MATCH('Cumulative Volumes Imperial'!$F$4, Imperial_Incremental[#Headers], 0)), 0))</f>
        <v/>
      </c>
      <c r="D433" s="30" t="str">
        <f>IF(B433=0,"",IF('Imperial Data'!AG422&gt;=1, INDEX(Imperial_Incremental[], MATCH('Imperial Data'!AG422, Imperial_Incremental[Height], 1), MATCH('Cumulative Volumes Imperial'!$F$4 &amp; "EC", Imperial_Incremental[#Headers], 0)), 0))</f>
        <v/>
      </c>
      <c r="E433" s="30"/>
      <c r="F433" s="30"/>
      <c r="G433" s="30" t="str">
        <f>IF(B433=0,"",IF('Cumulative Volumes Imperial'!$AQ$17=FALSE,I433,H433))</f>
        <v/>
      </c>
      <c r="H433" s="30"/>
      <c r="I433" s="30"/>
      <c r="J433" s="30" t="str">
        <f>IF(B433="","",IF('Cumulative Volumes Imperial'!$AQ$17=FALSE,L433,K433))</f>
        <v/>
      </c>
      <c r="K433" s="30"/>
      <c r="L433" s="30"/>
      <c r="M433" s="30" t="str">
        <f>IF($E$8+45+$E$9&gt;989,"FALSE",IF(B433="","",IF('Cumulative Volumes Imperial'!$AQ$17=FALSE,O433,N433)))</f>
        <v/>
      </c>
      <c r="N433" s="30"/>
      <c r="O433" s="30"/>
      <c r="P433" s="30" t="str">
        <f>IF(B433=0,"",(((1/12)*'Imperial Data'!$AC$4*'Imperial Data'!$AC$5)-C433)*$H$6)</f>
        <v/>
      </c>
      <c r="Q433" s="30"/>
      <c r="R433" s="30" t="str">
        <f>IF(B433=0,"",(((1/12)*'Imperial Data'!$AC$5*'Imperial Data'!$AC$7)-D433)*$H$6)</f>
        <v/>
      </c>
      <c r="S433" s="30"/>
      <c r="T433" s="30"/>
      <c r="U433" s="30"/>
      <c r="V433" s="30"/>
      <c r="W433" s="30" t="str">
        <f t="shared" si="68"/>
        <v/>
      </c>
      <c r="X433" s="31"/>
      <c r="Y433" s="30" t="str">
        <f t="shared" si="69"/>
        <v/>
      </c>
    </row>
    <row r="434" spans="2:25" x14ac:dyDescent="0.2">
      <c r="B434" s="34"/>
      <c r="C434" s="30" t="str">
        <f>IF(B434=0,"",IF('Imperial Data'!AG423&gt;=1, INDEX(Imperial_Incremental[], MATCH('Imperial Data'!AG423, Imperial_Incremental[Height], 1), MATCH('Cumulative Volumes Imperial'!$F$4, Imperial_Incremental[#Headers], 0)), 0))</f>
        <v/>
      </c>
      <c r="D434" s="30" t="str">
        <f>IF(B434=0,"",IF('Imperial Data'!AG423&gt;=1, INDEX(Imperial_Incremental[], MATCH('Imperial Data'!AG423, Imperial_Incremental[Height], 1), MATCH('Cumulative Volumes Imperial'!$F$4 &amp; "EC", Imperial_Incremental[#Headers], 0)), 0))</f>
        <v/>
      </c>
      <c r="E434" s="30"/>
      <c r="F434" s="30"/>
      <c r="G434" s="30" t="str">
        <f>IF(B434=0,"",IF('Cumulative Volumes Imperial'!$AQ$17=FALSE,I434,H434))</f>
        <v/>
      </c>
      <c r="H434" s="30"/>
      <c r="I434" s="30"/>
      <c r="J434" s="30" t="str">
        <f>IF(B434="","",IF('Cumulative Volumes Imperial'!$AQ$17=FALSE,L434,K434))</f>
        <v/>
      </c>
      <c r="K434" s="30"/>
      <c r="L434" s="30"/>
      <c r="M434" s="30" t="str">
        <f>IF($E$8+45+$E$9&gt;989,"FALSE",IF(B434="","",IF('Cumulative Volumes Imperial'!$AQ$17=FALSE,O434,N434)))</f>
        <v/>
      </c>
      <c r="N434" s="30"/>
      <c r="O434" s="30"/>
      <c r="P434" s="30" t="str">
        <f>IF(B434=0,"",(((1/12)*'Imperial Data'!$AC$4*'Imperial Data'!$AC$5)-C434)*$H$6)</f>
        <v/>
      </c>
      <c r="Q434" s="30"/>
      <c r="R434" s="30" t="str">
        <f>IF(B434=0,"",(((1/12)*'Imperial Data'!$AC$5*'Imperial Data'!$AC$7)-D434)*$H$6)</f>
        <v/>
      </c>
      <c r="S434" s="30"/>
      <c r="T434" s="30"/>
      <c r="U434" s="30"/>
      <c r="V434" s="30"/>
      <c r="W434" s="30" t="str">
        <f t="shared" si="68"/>
        <v/>
      </c>
      <c r="X434" s="31"/>
      <c r="Y434" s="30" t="str">
        <f t="shared" si="69"/>
        <v/>
      </c>
    </row>
    <row r="435" spans="2:25" x14ac:dyDescent="0.2">
      <c r="B435" s="34"/>
      <c r="C435" s="30" t="str">
        <f>IF(B435=0,"",IF('Imperial Data'!AG424&gt;=1, INDEX(Imperial_Incremental[], MATCH('Imperial Data'!AG424, Imperial_Incremental[Height], 1), MATCH('Cumulative Volumes Imperial'!$F$4, Imperial_Incremental[#Headers], 0)), 0))</f>
        <v/>
      </c>
      <c r="D435" s="30" t="str">
        <f>IF(B435=0,"",IF('Imperial Data'!AG424&gt;=1, INDEX(Imperial_Incremental[], MATCH('Imperial Data'!AG424, Imperial_Incremental[Height], 1), MATCH('Cumulative Volumes Imperial'!$F$4 &amp; "EC", Imperial_Incremental[#Headers], 0)), 0))</f>
        <v/>
      </c>
      <c r="E435" s="30"/>
      <c r="F435" s="30"/>
      <c r="G435" s="30" t="str">
        <f>IF(B435=0,"",IF('Cumulative Volumes Imperial'!$AQ$17=FALSE,I435,H435))</f>
        <v/>
      </c>
      <c r="H435" s="30"/>
      <c r="I435" s="30"/>
      <c r="J435" s="30" t="str">
        <f>IF(B435="","",IF('Cumulative Volumes Imperial'!$AQ$17=FALSE,L435,K435))</f>
        <v/>
      </c>
      <c r="K435" s="30"/>
      <c r="L435" s="30"/>
      <c r="M435" s="30" t="str">
        <f>IF($E$8+45+$E$9&gt;989,"FALSE",IF(B435="","",IF('Cumulative Volumes Imperial'!$AQ$17=FALSE,O435,N435)))</f>
        <v/>
      </c>
      <c r="N435" s="30"/>
      <c r="O435" s="30"/>
      <c r="P435" s="30" t="str">
        <f>IF(B435=0,"",(((1/12)*'Imperial Data'!$AC$4*'Imperial Data'!$AC$5)-C435)*$H$6)</f>
        <v/>
      </c>
      <c r="Q435" s="30"/>
      <c r="R435" s="30" t="str">
        <f>IF(B435=0,"",(((1/12)*'Imperial Data'!$AC$5*'Imperial Data'!$AC$7)-D435)*$H$6)</f>
        <v/>
      </c>
      <c r="S435" s="30"/>
      <c r="T435" s="30"/>
      <c r="U435" s="30"/>
      <c r="V435" s="30"/>
      <c r="W435" s="30" t="str">
        <f t="shared" si="68"/>
        <v/>
      </c>
      <c r="X435" s="31"/>
      <c r="Y435" s="30" t="str">
        <f t="shared" si="69"/>
        <v/>
      </c>
    </row>
    <row r="436" spans="2:25" x14ac:dyDescent="0.2">
      <c r="B436" s="34"/>
      <c r="C436" s="30" t="str">
        <f>IF(B436=0,"",IF('Imperial Data'!AG425&gt;=1, INDEX(Imperial_Incremental[], MATCH('Imperial Data'!AG425, Imperial_Incremental[Height], 1), MATCH('Cumulative Volumes Imperial'!$F$4, Imperial_Incremental[#Headers], 0)), 0))</f>
        <v/>
      </c>
      <c r="D436" s="30" t="str">
        <f>IF(B436=0,"",IF('Imperial Data'!AG425&gt;=1, INDEX(Imperial_Incremental[], MATCH('Imperial Data'!AG425, Imperial_Incremental[Height], 1), MATCH('Cumulative Volumes Imperial'!$F$4 &amp; "EC", Imperial_Incremental[#Headers], 0)), 0))</f>
        <v/>
      </c>
      <c r="E436" s="30"/>
      <c r="F436" s="30"/>
      <c r="G436" s="30" t="str">
        <f>IF(B436=0,"",IF('Cumulative Volumes Imperial'!$AQ$17=FALSE,I436,H436))</f>
        <v/>
      </c>
      <c r="H436" s="30"/>
      <c r="I436" s="30"/>
      <c r="J436" s="30" t="str">
        <f>IF(B436="","",IF('Cumulative Volumes Imperial'!$AQ$17=FALSE,L436,K436))</f>
        <v/>
      </c>
      <c r="K436" s="30"/>
      <c r="L436" s="30"/>
      <c r="M436" s="30" t="str">
        <f>IF($E$8+45+$E$9&gt;989,"FALSE",IF(B436="","",IF('Cumulative Volumes Imperial'!$AQ$17=FALSE,O436,N436)))</f>
        <v/>
      </c>
      <c r="N436" s="30"/>
      <c r="O436" s="30"/>
      <c r="P436" s="30" t="str">
        <f>IF(B436=0,"",(((1/12)*'Imperial Data'!$AC$4*'Imperial Data'!$AC$5)-C436)*$H$6)</f>
        <v/>
      </c>
      <c r="Q436" s="30"/>
      <c r="R436" s="30" t="str">
        <f>IF(B436=0,"",(((1/12)*'Imperial Data'!$AC$5*'Imperial Data'!$AC$7)-D436)*$H$6)</f>
        <v/>
      </c>
      <c r="S436" s="30"/>
      <c r="T436" s="30"/>
      <c r="U436" s="30"/>
      <c r="V436" s="30"/>
      <c r="W436" s="30" t="str">
        <f t="shared" si="68"/>
        <v/>
      </c>
      <c r="X436" s="31"/>
      <c r="Y436" s="30" t="str">
        <f t="shared" si="69"/>
        <v/>
      </c>
    </row>
    <row r="437" spans="2:25" x14ac:dyDescent="0.2">
      <c r="B437" s="34"/>
      <c r="C437" s="30" t="str">
        <f>IF(B437=0,"",IF('Imperial Data'!AG426&gt;=1, INDEX(Imperial_Incremental[], MATCH('Imperial Data'!AG426, Imperial_Incremental[Height], 1), MATCH('Cumulative Volumes Imperial'!$F$4, Imperial_Incremental[#Headers], 0)), 0))</f>
        <v/>
      </c>
      <c r="D437" s="30" t="str">
        <f>IF(B437=0,"",IF('Imperial Data'!AG426&gt;=1, INDEX(Imperial_Incremental[], MATCH('Imperial Data'!AG426, Imperial_Incremental[Height], 1), MATCH('Cumulative Volumes Imperial'!$F$4 &amp; "EC", Imperial_Incremental[#Headers], 0)), 0))</f>
        <v/>
      </c>
      <c r="E437" s="30"/>
      <c r="F437" s="30"/>
      <c r="G437" s="30" t="str">
        <f>IF(B437=0,"",IF('Cumulative Volumes Imperial'!$AQ$17=FALSE,I437,H437))</f>
        <v/>
      </c>
      <c r="H437" s="30"/>
      <c r="I437" s="30"/>
      <c r="J437" s="30" t="str">
        <f>IF(B437="","",IF('Cumulative Volumes Imperial'!$AQ$17=FALSE,L437,K437))</f>
        <v/>
      </c>
      <c r="K437" s="30"/>
      <c r="L437" s="30"/>
      <c r="M437" s="30" t="str">
        <f>IF($E$8+45+$E$9&gt;989,"FALSE",IF(B437="","",IF('Cumulative Volumes Imperial'!$AQ$17=FALSE,O437,N437)))</f>
        <v/>
      </c>
      <c r="N437" s="30"/>
      <c r="O437" s="30"/>
      <c r="P437" s="30" t="str">
        <f>IF(B437=0,"",(((1/12)*'Imperial Data'!$AC$4*'Imperial Data'!$AC$5)-C437)*$H$6)</f>
        <v/>
      </c>
      <c r="Q437" s="30"/>
      <c r="R437" s="30" t="str">
        <f>IF(B437=0,"",(((1/12)*'Imperial Data'!$AC$5*'Imperial Data'!$AC$7)-D437)*$H$6)</f>
        <v/>
      </c>
      <c r="S437" s="30"/>
      <c r="T437" s="30"/>
      <c r="U437" s="30"/>
      <c r="V437" s="30"/>
      <c r="W437" s="30" t="str">
        <f t="shared" si="68"/>
        <v/>
      </c>
      <c r="X437" s="31"/>
      <c r="Y437" s="30" t="str">
        <f t="shared" si="69"/>
        <v/>
      </c>
    </row>
    <row r="438" spans="2:25" x14ac:dyDescent="0.2">
      <c r="B438" s="34"/>
      <c r="C438" s="30" t="str">
        <f>IF(B438=0,"",IF('Imperial Data'!AG427&gt;=1, INDEX(Imperial_Incremental[], MATCH('Imperial Data'!AG427, Imperial_Incremental[Height], 1), MATCH('Cumulative Volumes Imperial'!$F$4, Imperial_Incremental[#Headers], 0)), 0))</f>
        <v/>
      </c>
      <c r="D438" s="30" t="str">
        <f>IF(B438=0,"",IF('Imperial Data'!AG427&gt;=1, INDEX(Imperial_Incremental[], MATCH('Imperial Data'!AG427, Imperial_Incremental[Height], 1), MATCH('Cumulative Volumes Imperial'!$F$4 &amp; "EC", Imperial_Incremental[#Headers], 0)), 0))</f>
        <v/>
      </c>
      <c r="E438" s="30"/>
      <c r="F438" s="30"/>
      <c r="G438" s="30" t="str">
        <f>IF(B438=0,"",IF('Cumulative Volumes Imperial'!$AQ$17=FALSE,I438,H438))</f>
        <v/>
      </c>
      <c r="H438" s="30"/>
      <c r="I438" s="30"/>
      <c r="J438" s="30" t="str">
        <f>IF(B438="","",IF('Cumulative Volumes Imperial'!$AQ$17=FALSE,L438,K438))</f>
        <v/>
      </c>
      <c r="K438" s="30"/>
      <c r="L438" s="30"/>
      <c r="M438" s="30" t="str">
        <f>IF($E$8+45+$E$9&gt;989,"FALSE",IF(B438="","",IF('Cumulative Volumes Imperial'!$AQ$17=FALSE,O438,N438)))</f>
        <v/>
      </c>
      <c r="N438" s="30"/>
      <c r="O438" s="30"/>
      <c r="P438" s="30" t="str">
        <f>IF(B438=0,"",(((1/12)*'Imperial Data'!$AC$4*'Imperial Data'!$AC$5)-C438)*$H$6)</f>
        <v/>
      </c>
      <c r="Q438" s="30"/>
      <c r="R438" s="30" t="str">
        <f>IF(B438=0,"",(((1/12)*'Imperial Data'!$AC$5*'Imperial Data'!$AC$7)-D438)*$H$6)</f>
        <v/>
      </c>
      <c r="S438" s="30"/>
      <c r="T438" s="30"/>
      <c r="U438" s="30"/>
      <c r="V438" s="30"/>
      <c r="W438" s="30" t="str">
        <f t="shared" si="68"/>
        <v/>
      </c>
      <c r="X438" s="31"/>
      <c r="Y438" s="30" t="str">
        <f t="shared" si="69"/>
        <v/>
      </c>
    </row>
    <row r="439" spans="2:25" x14ac:dyDescent="0.2">
      <c r="B439" s="34"/>
      <c r="C439" s="30" t="str">
        <f>IF(B439=0,"",IF('Imperial Data'!AG428&gt;=1, INDEX(Imperial_Incremental[], MATCH('Imperial Data'!AG428, Imperial_Incremental[Height], 1), MATCH('Cumulative Volumes Imperial'!$F$4, Imperial_Incremental[#Headers], 0)), 0))</f>
        <v/>
      </c>
      <c r="D439" s="30" t="str">
        <f>IF(B439=0,"",IF('Imperial Data'!AG428&gt;=1, INDEX(Imperial_Incremental[], MATCH('Imperial Data'!AG428, Imperial_Incremental[Height], 1), MATCH('Cumulative Volumes Imperial'!$F$4 &amp; "EC", Imperial_Incremental[#Headers], 0)), 0))</f>
        <v/>
      </c>
      <c r="E439" s="30"/>
      <c r="F439" s="30"/>
      <c r="G439" s="30" t="str">
        <f>IF(B439=0,"",IF('Cumulative Volumes Imperial'!$AQ$17=FALSE,I439,H439))</f>
        <v/>
      </c>
      <c r="H439" s="30"/>
      <c r="I439" s="30"/>
      <c r="J439" s="30" t="str">
        <f>IF(B439="","",IF('Cumulative Volumes Imperial'!$AQ$17=FALSE,L439,K439))</f>
        <v/>
      </c>
      <c r="K439" s="30"/>
      <c r="L439" s="30"/>
      <c r="M439" s="30" t="str">
        <f>IF($E$8+45+$E$9&gt;989,"FALSE",IF(B439="","",IF('Cumulative Volumes Imperial'!$AQ$17=FALSE,O439,N439)))</f>
        <v/>
      </c>
      <c r="N439" s="30"/>
      <c r="O439" s="30"/>
      <c r="P439" s="30" t="str">
        <f>IF(B439=0,"",(((1/12)*'Imperial Data'!$AC$4*'Imperial Data'!$AC$5)-C439)*$H$6)</f>
        <v/>
      </c>
      <c r="Q439" s="30"/>
      <c r="R439" s="30" t="str">
        <f>IF(B439=0,"",(((1/12)*'Imperial Data'!$AC$5*'Imperial Data'!$AC$7)-D439)*$H$6)</f>
        <v/>
      </c>
      <c r="S439" s="30"/>
      <c r="T439" s="30"/>
      <c r="U439" s="30"/>
      <c r="V439" s="30"/>
      <c r="W439" s="30" t="str">
        <f t="shared" si="68"/>
        <v/>
      </c>
      <c r="X439" s="31"/>
      <c r="Y439" s="30" t="str">
        <f t="shared" si="69"/>
        <v/>
      </c>
    </row>
    <row r="440" spans="2:25" x14ac:dyDescent="0.2">
      <c r="B440" s="34"/>
      <c r="C440" s="30" t="str">
        <f>IF(B440=0,"",IF('Imperial Data'!AG429&gt;=1, INDEX(Imperial_Incremental[], MATCH('Imperial Data'!AG429, Imperial_Incremental[Height], 1), MATCH('Cumulative Volumes Imperial'!$F$4, Imperial_Incremental[#Headers], 0)), 0))</f>
        <v/>
      </c>
      <c r="D440" s="30" t="str">
        <f>IF(B440=0,"",IF('Imperial Data'!AG429&gt;=1, INDEX(Imperial_Incremental[], MATCH('Imperial Data'!AG429, Imperial_Incremental[Height], 1), MATCH('Cumulative Volumes Imperial'!$F$4 &amp; "EC", Imperial_Incremental[#Headers], 0)), 0))</f>
        <v/>
      </c>
      <c r="E440" s="30"/>
      <c r="F440" s="30"/>
      <c r="G440" s="30" t="str">
        <f>IF(B440=0,"",IF('Cumulative Volumes Imperial'!$AQ$17=FALSE,I440,H440))</f>
        <v/>
      </c>
      <c r="H440" s="30"/>
      <c r="I440" s="30"/>
      <c r="J440" s="30" t="str">
        <f>IF(B440="","",IF('Cumulative Volumes Imperial'!$AQ$17=FALSE,L440,K440))</f>
        <v/>
      </c>
      <c r="K440" s="30"/>
      <c r="L440" s="30"/>
      <c r="M440" s="30" t="str">
        <f>IF($E$8+45+$E$9&gt;989,"FALSE",IF(B440="","",IF('Cumulative Volumes Imperial'!$AQ$17=FALSE,O440,N440)))</f>
        <v/>
      </c>
      <c r="N440" s="30"/>
      <c r="O440" s="30"/>
      <c r="P440" s="30" t="str">
        <f>IF(B440=0,"",(((1/12)*'Imperial Data'!$AC$4*'Imperial Data'!$AC$5)-C440)*$H$6)</f>
        <v/>
      </c>
      <c r="Q440" s="30"/>
      <c r="R440" s="30" t="str">
        <f>IF(B440=0,"",(((1/12)*'Imperial Data'!$AC$5*'Imperial Data'!$AC$7)-D440)*$H$6)</f>
        <v/>
      </c>
      <c r="S440" s="30"/>
      <c r="T440" s="30"/>
      <c r="U440" s="30"/>
      <c r="V440" s="30"/>
      <c r="W440" s="30" t="str">
        <f t="shared" si="68"/>
        <v/>
      </c>
      <c r="X440" s="31"/>
      <c r="Y440" s="30" t="str">
        <f t="shared" si="69"/>
        <v/>
      </c>
    </row>
    <row r="441" spans="2:25" x14ac:dyDescent="0.2">
      <c r="B441" s="34"/>
      <c r="C441" s="30" t="str">
        <f>IF(B441=0,"",IF('Imperial Data'!AG430&gt;=1, INDEX(Imperial_Incremental[], MATCH('Imperial Data'!AG430, Imperial_Incremental[Height], 1), MATCH('Cumulative Volumes Imperial'!$F$4, Imperial_Incremental[#Headers], 0)), 0))</f>
        <v/>
      </c>
      <c r="D441" s="30" t="str">
        <f>IF(B441=0,"",IF('Imperial Data'!AG430&gt;=1, INDEX(Imperial_Incremental[], MATCH('Imperial Data'!AG430, Imperial_Incremental[Height], 1), MATCH('Cumulative Volumes Imperial'!$F$4 &amp; "EC", Imperial_Incremental[#Headers], 0)), 0))</f>
        <v/>
      </c>
      <c r="E441" s="30"/>
      <c r="F441" s="30"/>
      <c r="G441" s="30" t="str">
        <f>IF(B441=0,"",IF('Cumulative Volumes Imperial'!$AQ$17=FALSE,I441,H441))</f>
        <v/>
      </c>
      <c r="H441" s="30"/>
      <c r="I441" s="30"/>
      <c r="J441" s="30" t="str">
        <f>IF(B441="","",IF('Cumulative Volumes Imperial'!$AQ$17=FALSE,L441,K441))</f>
        <v/>
      </c>
      <c r="K441" s="30"/>
      <c r="L441" s="30"/>
      <c r="M441" s="30" t="str">
        <f>IF($E$8+45+$E$9&gt;989,"FALSE",IF(B441="","",IF('Cumulative Volumes Imperial'!$AQ$17=FALSE,O441,N441)))</f>
        <v/>
      </c>
      <c r="N441" s="30"/>
      <c r="O441" s="30"/>
      <c r="P441" s="30" t="str">
        <f>IF(B441=0,"",(((1/12)*'Imperial Data'!$AC$4*'Imperial Data'!$AC$5)-C441)*$H$6)</f>
        <v/>
      </c>
      <c r="Q441" s="30"/>
      <c r="R441" s="30" t="str">
        <f>IF(B441=0,"",(((1/12)*'Imperial Data'!$AC$5*'Imperial Data'!$AC$7)-D441)*$H$6)</f>
        <v/>
      </c>
      <c r="S441" s="30"/>
      <c r="T441" s="30"/>
      <c r="U441" s="30"/>
      <c r="V441" s="30"/>
      <c r="W441" s="30" t="str">
        <f t="shared" si="68"/>
        <v/>
      </c>
      <c r="X441" s="31"/>
      <c r="Y441" s="30" t="str">
        <f t="shared" si="69"/>
        <v/>
      </c>
    </row>
    <row r="442" spans="2:25" x14ac:dyDescent="0.2">
      <c r="B442" s="34"/>
      <c r="C442" s="30" t="str">
        <f>IF(B442=0,"",IF('Imperial Data'!AG431&gt;=1, INDEX(Imperial_Incremental[], MATCH('Imperial Data'!AG431, Imperial_Incremental[Height], 1), MATCH('Cumulative Volumes Imperial'!$F$4, Imperial_Incremental[#Headers], 0)), 0))</f>
        <v/>
      </c>
      <c r="D442" s="30" t="str">
        <f>IF(B442=0,"",IF('Imperial Data'!AG431&gt;=1, INDEX(Imperial_Incremental[], MATCH('Imperial Data'!AG431, Imperial_Incremental[Height], 1), MATCH('Cumulative Volumes Imperial'!$F$4 &amp; "EC", Imperial_Incremental[#Headers], 0)), 0))</f>
        <v/>
      </c>
      <c r="E442" s="30"/>
      <c r="F442" s="30"/>
      <c r="G442" s="30" t="str">
        <f>IF(B442=0,"",IF('Cumulative Volumes Imperial'!$AQ$17=FALSE,I442,H442))</f>
        <v/>
      </c>
      <c r="H442" s="30"/>
      <c r="I442" s="30"/>
      <c r="J442" s="30" t="str">
        <f>IF(B442="","",IF('Cumulative Volumes Imperial'!$AQ$17=FALSE,L442,K442))</f>
        <v/>
      </c>
      <c r="K442" s="30"/>
      <c r="L442" s="30"/>
      <c r="M442" s="30" t="str">
        <f>IF($E$8+45+$E$9&gt;989,"FALSE",IF(B442="","",IF('Cumulative Volumes Imperial'!$AQ$17=FALSE,O442,N442)))</f>
        <v/>
      </c>
      <c r="N442" s="30"/>
      <c r="O442" s="30"/>
      <c r="P442" s="30" t="str">
        <f>IF(B442=0,"",(((1/12)*'Imperial Data'!$AC$4*'Imperial Data'!$AC$5)-C442)*$H$6)</f>
        <v/>
      </c>
      <c r="Q442" s="30"/>
      <c r="R442" s="30" t="str">
        <f>IF(B442=0,"",(((1/12)*'Imperial Data'!$AC$5*'Imperial Data'!$AC$7)-D442)*$H$6)</f>
        <v/>
      </c>
      <c r="S442" s="30"/>
      <c r="T442" s="30"/>
      <c r="U442" s="30"/>
      <c r="V442" s="30"/>
      <c r="W442" s="30" t="str">
        <f t="shared" si="68"/>
        <v/>
      </c>
      <c r="X442" s="31"/>
      <c r="Y442" s="30" t="str">
        <f t="shared" si="69"/>
        <v/>
      </c>
    </row>
    <row r="443" spans="2:25" x14ac:dyDescent="0.2">
      <c r="B443" s="34"/>
      <c r="C443" s="30" t="str">
        <f>IF(B443=0,"",IF('Imperial Data'!AG432&gt;=1, INDEX(Imperial_Incremental[], MATCH('Imperial Data'!AG432, Imperial_Incremental[Height], 1), MATCH('Cumulative Volumes Imperial'!$F$4, Imperial_Incremental[#Headers], 0)), 0))</f>
        <v/>
      </c>
      <c r="D443" s="30" t="str">
        <f>IF(B443=0,"",IF('Imperial Data'!AG432&gt;=1, INDEX(Imperial_Incremental[], MATCH('Imperial Data'!AG432, Imperial_Incremental[Height], 1), MATCH('Cumulative Volumes Imperial'!$F$4 &amp; "EC", Imperial_Incremental[#Headers], 0)), 0))</f>
        <v/>
      </c>
      <c r="E443" s="30"/>
      <c r="F443" s="30"/>
      <c r="G443" s="30" t="str">
        <f>IF(B443=0,"",IF('Cumulative Volumes Imperial'!$AQ$17=FALSE,I443,H443))</f>
        <v/>
      </c>
      <c r="H443" s="30"/>
      <c r="I443" s="30"/>
      <c r="J443" s="30" t="str">
        <f>IF(B443="","",IF('Cumulative Volumes Imperial'!$AQ$17=FALSE,L443,K443))</f>
        <v/>
      </c>
      <c r="K443" s="30"/>
      <c r="L443" s="30"/>
      <c r="M443" s="30" t="str">
        <f>IF($E$8+45+$E$9&gt;989,"FALSE",IF(B443="","",IF('Cumulative Volumes Imperial'!$AQ$17=FALSE,O443,N443)))</f>
        <v/>
      </c>
      <c r="N443" s="30"/>
      <c r="O443" s="30"/>
      <c r="P443" s="30" t="str">
        <f>IF(B443=0,"",(((1/12)*'Imperial Data'!$AC$4*'Imperial Data'!$AC$5)-C443)*$H$6)</f>
        <v/>
      </c>
      <c r="Q443" s="30"/>
      <c r="R443" s="30" t="str">
        <f>IF(B443=0,"",(((1/12)*'Imperial Data'!$AC$5*'Imperial Data'!$AC$7)-D443)*$H$6)</f>
        <v/>
      </c>
      <c r="S443" s="30"/>
      <c r="T443" s="30"/>
      <c r="U443" s="30"/>
      <c r="V443" s="30"/>
      <c r="W443" s="30" t="str">
        <f t="shared" si="68"/>
        <v/>
      </c>
      <c r="X443" s="31"/>
      <c r="Y443" s="30" t="str">
        <f t="shared" si="69"/>
        <v/>
      </c>
    </row>
    <row r="444" spans="2:25" x14ac:dyDescent="0.2">
      <c r="B444" s="34"/>
      <c r="C444" s="30" t="str">
        <f>IF(B444=0,"",IF('Imperial Data'!AG433&gt;=1, INDEX(Imperial_Incremental[], MATCH('Imperial Data'!AG433, Imperial_Incremental[Height], 1), MATCH('Cumulative Volumes Imperial'!$F$4, Imperial_Incremental[#Headers], 0)), 0))</f>
        <v/>
      </c>
      <c r="D444" s="30" t="str">
        <f>IF(B444=0,"",IF('Imperial Data'!AG433&gt;=1, INDEX(Imperial_Incremental[], MATCH('Imperial Data'!AG433, Imperial_Incremental[Height], 1), MATCH('Cumulative Volumes Imperial'!$F$4 &amp; "EC", Imperial_Incremental[#Headers], 0)), 0))</f>
        <v/>
      </c>
      <c r="E444" s="30"/>
      <c r="F444" s="30"/>
      <c r="G444" s="30" t="str">
        <f>IF(B444=0,"",IF('Cumulative Volumes Imperial'!$AQ$17=FALSE,I444,H444))</f>
        <v/>
      </c>
      <c r="H444" s="30"/>
      <c r="I444" s="30"/>
      <c r="J444" s="30" t="str">
        <f>IF(B444="","",IF('Cumulative Volumes Imperial'!$AQ$17=FALSE,L444,K444))</f>
        <v/>
      </c>
      <c r="K444" s="30"/>
      <c r="L444" s="30"/>
      <c r="M444" s="30" t="str">
        <f>IF($E$8+45+$E$9&gt;989,"FALSE",IF(B444="","",IF('Cumulative Volumes Imperial'!$AQ$17=FALSE,O444,N444)))</f>
        <v/>
      </c>
      <c r="N444" s="30"/>
      <c r="O444" s="30"/>
      <c r="P444" s="30" t="str">
        <f>IF(B444=0,"",(((1/12)*'Imperial Data'!$AC$4*'Imperial Data'!$AC$5)-C444)*$H$6)</f>
        <v/>
      </c>
      <c r="Q444" s="30"/>
      <c r="R444" s="30" t="str">
        <f>IF(B444=0,"",(((1/12)*'Imperial Data'!$AC$5*'Imperial Data'!$AC$7)-D444)*$H$6)</f>
        <v/>
      </c>
      <c r="S444" s="30"/>
      <c r="T444" s="30"/>
      <c r="U444" s="30"/>
      <c r="V444" s="30"/>
      <c r="W444" s="30" t="str">
        <f t="shared" si="68"/>
        <v/>
      </c>
      <c r="X444" s="31"/>
      <c r="Y444" s="30" t="str">
        <f t="shared" si="69"/>
        <v/>
      </c>
    </row>
    <row r="445" spans="2:25" x14ac:dyDescent="0.2">
      <c r="B445" s="34"/>
      <c r="C445" s="30" t="str">
        <f>IF(B445=0,"",IF('Imperial Data'!AG434&gt;=1, INDEX(Imperial_Incremental[], MATCH('Imperial Data'!AG434, Imperial_Incremental[Height], 1), MATCH('Cumulative Volumes Imperial'!$F$4, Imperial_Incremental[#Headers], 0)), 0))</f>
        <v/>
      </c>
      <c r="D445" s="30" t="str">
        <f>IF(B445=0,"",IF('Imperial Data'!AG434&gt;=1, INDEX(Imperial_Incremental[], MATCH('Imperial Data'!AG434, Imperial_Incremental[Height], 1), MATCH('Cumulative Volumes Imperial'!$F$4 &amp; "EC", Imperial_Incremental[#Headers], 0)), 0))</f>
        <v/>
      </c>
      <c r="E445" s="30"/>
      <c r="F445" s="30"/>
      <c r="G445" s="30" t="str">
        <f>IF(B445=0,"",IF('Cumulative Volumes Imperial'!$AQ$17=FALSE,I445,H445))</f>
        <v/>
      </c>
      <c r="H445" s="30"/>
      <c r="I445" s="30"/>
      <c r="J445" s="30" t="str">
        <f>IF(B445="","",IF('Cumulative Volumes Imperial'!$AQ$17=FALSE,L445,K445))</f>
        <v/>
      </c>
      <c r="K445" s="30"/>
      <c r="L445" s="30"/>
      <c r="M445" s="30" t="str">
        <f>IF($E$8+45+$E$9&gt;989,"FALSE",IF(B445="","",IF('Cumulative Volumes Imperial'!$AQ$17=FALSE,O445,N445)))</f>
        <v/>
      </c>
      <c r="N445" s="30"/>
      <c r="O445" s="30"/>
      <c r="P445" s="30" t="str">
        <f>IF(B445=0,"",(((1/12)*'Imperial Data'!$AC$4*'Imperial Data'!$AC$5)-C445)*$H$6)</f>
        <v/>
      </c>
      <c r="Q445" s="30"/>
      <c r="R445" s="30" t="str">
        <f>IF(B445=0,"",(((1/12)*'Imperial Data'!$AC$5*'Imperial Data'!$AC$7)-D445)*$H$6)</f>
        <v/>
      </c>
      <c r="S445" s="30"/>
      <c r="T445" s="30"/>
      <c r="U445" s="30"/>
      <c r="V445" s="30"/>
      <c r="W445" s="30" t="str">
        <f t="shared" si="68"/>
        <v/>
      </c>
      <c r="X445" s="31"/>
      <c r="Y445" s="30" t="str">
        <f t="shared" si="69"/>
        <v/>
      </c>
    </row>
    <row r="446" spans="2:25" x14ac:dyDescent="0.2">
      <c r="B446" s="34"/>
      <c r="C446" s="30" t="str">
        <f>IF(B446=0,"",IF('Imperial Data'!AG435&gt;=1, INDEX(Imperial_Incremental[], MATCH('Imperial Data'!AG435, Imperial_Incremental[Height], 1), MATCH('Cumulative Volumes Imperial'!$F$4, Imperial_Incremental[#Headers], 0)), 0))</f>
        <v/>
      </c>
      <c r="D446" s="30" t="str">
        <f>IF(B446=0,"",IF('Imperial Data'!AG435&gt;=1, INDEX(Imperial_Incremental[], MATCH('Imperial Data'!AG435, Imperial_Incremental[Height], 1), MATCH('Cumulative Volumes Imperial'!$F$4 &amp; "EC", Imperial_Incremental[#Headers], 0)), 0))</f>
        <v/>
      </c>
      <c r="E446" s="30"/>
      <c r="F446" s="30"/>
      <c r="G446" s="30" t="str">
        <f>IF(B446=0,"",IF('Cumulative Volumes Imperial'!$AQ$17=FALSE,I446,H446))</f>
        <v/>
      </c>
      <c r="H446" s="30"/>
      <c r="I446" s="30"/>
      <c r="J446" s="30" t="str">
        <f>IF(B446="","",IF('Cumulative Volumes Imperial'!$AQ$17=FALSE,L446,K446))</f>
        <v/>
      </c>
      <c r="K446" s="30"/>
      <c r="L446" s="30"/>
      <c r="M446" s="30" t="str">
        <f>IF($E$8+45+$E$9&gt;989,"FALSE",IF(B446="","",IF('Cumulative Volumes Imperial'!$AQ$17=FALSE,O446,N446)))</f>
        <v/>
      </c>
      <c r="N446" s="30"/>
      <c r="O446" s="30"/>
      <c r="P446" s="30" t="str">
        <f>IF(B446=0,"",(((1/12)*'Imperial Data'!$AC$4*'Imperial Data'!$AC$5)-C446)*$H$6)</f>
        <v/>
      </c>
      <c r="Q446" s="30"/>
      <c r="R446" s="30" t="str">
        <f>IF(B446=0,"",(((1/12)*'Imperial Data'!$AC$5*'Imperial Data'!$AC$7)-D446)*$H$6)</f>
        <v/>
      </c>
      <c r="S446" s="30"/>
      <c r="T446" s="30"/>
      <c r="U446" s="30"/>
      <c r="V446" s="30"/>
      <c r="W446" s="30" t="str">
        <f t="shared" si="68"/>
        <v/>
      </c>
      <c r="X446" s="31"/>
      <c r="Y446" s="30" t="str">
        <f t="shared" si="69"/>
        <v/>
      </c>
    </row>
    <row r="447" spans="2:25" x14ac:dyDescent="0.2">
      <c r="B447" s="34"/>
      <c r="C447" s="30" t="str">
        <f>IF(B447=0,"",IF('Imperial Data'!AG436&gt;=1, INDEX(Imperial_Incremental[], MATCH('Imperial Data'!AG436, Imperial_Incremental[Height], 1), MATCH('Cumulative Volumes Imperial'!$F$4, Imperial_Incremental[#Headers], 0)), 0))</f>
        <v/>
      </c>
      <c r="D447" s="30" t="str">
        <f>IF(B447=0,"",IF('Imperial Data'!AG436&gt;=1, INDEX(Imperial_Incremental[], MATCH('Imperial Data'!AG436, Imperial_Incremental[Height], 1), MATCH('Cumulative Volumes Imperial'!$F$4 &amp; "EC", Imperial_Incremental[#Headers], 0)), 0))</f>
        <v/>
      </c>
      <c r="E447" s="30"/>
      <c r="F447" s="30"/>
      <c r="G447" s="30" t="str">
        <f>IF(B447=0,"",IF('Cumulative Volumes Imperial'!$AQ$17=FALSE,I447,H447))</f>
        <v/>
      </c>
      <c r="H447" s="30"/>
      <c r="I447" s="30"/>
      <c r="J447" s="30" t="str">
        <f>IF(B447="","",IF('Cumulative Volumes Imperial'!$AQ$17=FALSE,L447,K447))</f>
        <v/>
      </c>
      <c r="K447" s="30"/>
      <c r="L447" s="30"/>
      <c r="M447" s="30" t="str">
        <f>IF($E$8+45+$E$9&gt;989,"FALSE",IF(B447="","",IF('Cumulative Volumes Imperial'!$AQ$17=FALSE,O447,N447)))</f>
        <v/>
      </c>
      <c r="N447" s="30"/>
      <c r="O447" s="30"/>
      <c r="P447" s="30" t="str">
        <f>IF(B447=0,"",(((1/12)*'Imperial Data'!$AC$4*'Imperial Data'!$AC$5)-C447)*$H$6)</f>
        <v/>
      </c>
      <c r="Q447" s="30"/>
      <c r="R447" s="30" t="str">
        <f>IF(B447=0,"",(((1/12)*'Imperial Data'!$AC$5*'Imperial Data'!$AC$7)-D447)*$H$6)</f>
        <v/>
      </c>
      <c r="S447" s="30"/>
      <c r="T447" s="30"/>
      <c r="U447" s="30"/>
      <c r="V447" s="30"/>
      <c r="W447" s="30" t="str">
        <f t="shared" si="68"/>
        <v/>
      </c>
      <c r="X447" s="31"/>
      <c r="Y447" s="30" t="str">
        <f t="shared" si="69"/>
        <v/>
      </c>
    </row>
    <row r="448" spans="2:25" x14ac:dyDescent="0.2">
      <c r="B448" s="34"/>
      <c r="C448" s="30" t="str">
        <f>IF(B448=0,"",IF('Imperial Data'!AG437&gt;=1, INDEX(Imperial_Incremental[], MATCH('Imperial Data'!AG437, Imperial_Incremental[Height], 1), MATCH('Cumulative Volumes Imperial'!$F$4, Imperial_Incremental[#Headers], 0)), 0))</f>
        <v/>
      </c>
      <c r="D448" s="30" t="str">
        <f>IF(B448=0,"",IF('Imperial Data'!AG437&gt;=1, INDEX(Imperial_Incremental[], MATCH('Imperial Data'!AG437, Imperial_Incremental[Height], 1), MATCH('Cumulative Volumes Imperial'!$F$4 &amp; "EC", Imperial_Incremental[#Headers], 0)), 0))</f>
        <v/>
      </c>
      <c r="E448" s="30"/>
      <c r="F448" s="30"/>
      <c r="G448" s="30" t="str">
        <f>IF(B448=0,"",IF('Cumulative Volumes Imperial'!$AQ$17=FALSE,I448,H448))</f>
        <v/>
      </c>
      <c r="H448" s="30"/>
      <c r="I448" s="30"/>
      <c r="J448" s="30" t="str">
        <f>IF(B448="","",IF('Cumulative Volumes Imperial'!$AQ$17=FALSE,L448,K448))</f>
        <v/>
      </c>
      <c r="K448" s="30"/>
      <c r="L448" s="30"/>
      <c r="M448" s="30" t="str">
        <f>IF($E$8+45+$E$9&gt;989,"FALSE",IF(B448="","",IF('Cumulative Volumes Imperial'!$AQ$17=FALSE,O448,N448)))</f>
        <v/>
      </c>
      <c r="N448" s="30"/>
      <c r="O448" s="30"/>
      <c r="P448" s="30" t="str">
        <f>IF(B448=0,"",(((1/12)*'Imperial Data'!$AC$4*'Imperial Data'!$AC$5)-C448)*$H$6)</f>
        <v/>
      </c>
      <c r="Q448" s="30"/>
      <c r="R448" s="30" t="str">
        <f>IF(B448=0,"",(((1/12)*'Imperial Data'!$AC$5*'Imperial Data'!$AC$7)-D448)*$H$6)</f>
        <v/>
      </c>
      <c r="S448" s="30"/>
      <c r="T448" s="30"/>
      <c r="U448" s="30"/>
      <c r="V448" s="30"/>
      <c r="W448" s="30" t="str">
        <f t="shared" si="68"/>
        <v/>
      </c>
      <c r="X448" s="31"/>
      <c r="Y448" s="30" t="str">
        <f t="shared" si="69"/>
        <v/>
      </c>
    </row>
    <row r="449" spans="2:25" x14ac:dyDescent="0.2">
      <c r="B449" s="34"/>
      <c r="C449" s="30" t="str">
        <f>IF(B449=0,"",IF('Imperial Data'!AG438&gt;=1, INDEX(Imperial_Incremental[], MATCH('Imperial Data'!AG438, Imperial_Incremental[Height], 1), MATCH('Cumulative Volumes Imperial'!$F$4, Imperial_Incremental[#Headers], 0)), 0))</f>
        <v/>
      </c>
      <c r="D449" s="30" t="str">
        <f>IF(B449=0,"",IF('Imperial Data'!AG438&gt;=1, INDEX(Imperial_Incremental[], MATCH('Imperial Data'!AG438, Imperial_Incremental[Height], 1), MATCH('Cumulative Volumes Imperial'!$F$4 &amp; "EC", Imperial_Incremental[#Headers], 0)), 0))</f>
        <v/>
      </c>
      <c r="E449" s="30"/>
      <c r="F449" s="30"/>
      <c r="G449" s="30" t="str">
        <f>IF(B449=0,"",IF('Cumulative Volumes Imperial'!$AQ$17=FALSE,I449,H449))</f>
        <v/>
      </c>
      <c r="H449" s="30"/>
      <c r="I449" s="30"/>
      <c r="J449" s="30" t="str">
        <f>IF(B449="","",IF('Cumulative Volumes Imperial'!$AQ$17=FALSE,L449,K449))</f>
        <v/>
      </c>
      <c r="K449" s="30"/>
      <c r="L449" s="30"/>
      <c r="M449" s="30" t="str">
        <f>IF($E$8+45+$E$9&gt;989,"FALSE",IF(B449="","",IF('Cumulative Volumes Imperial'!$AQ$17=FALSE,O449,N449)))</f>
        <v/>
      </c>
      <c r="N449" s="30"/>
      <c r="O449" s="30"/>
      <c r="P449" s="30" t="str">
        <f>IF(B449=0,"",(((1/12)*'Imperial Data'!$AC$4*'Imperial Data'!$AC$5)-C449)*$H$6)</f>
        <v/>
      </c>
      <c r="Q449" s="30"/>
      <c r="R449" s="30" t="str">
        <f>IF(B449=0,"",(((1/12)*'Imperial Data'!$AC$5*'Imperial Data'!$AC$7)-D449)*$H$6)</f>
        <v/>
      </c>
      <c r="S449" s="30"/>
      <c r="T449" s="30"/>
      <c r="U449" s="30"/>
      <c r="V449" s="30"/>
      <c r="W449" s="30" t="str">
        <f t="shared" si="68"/>
        <v/>
      </c>
      <c r="X449" s="31"/>
      <c r="Y449" s="30" t="str">
        <f t="shared" si="69"/>
        <v/>
      </c>
    </row>
    <row r="450" spans="2:25" x14ac:dyDescent="0.2">
      <c r="B450" s="34"/>
      <c r="C450" s="30" t="str">
        <f>IF(B450=0,"",IF('Imperial Data'!AG439&gt;=1, INDEX(Imperial_Incremental[], MATCH('Imperial Data'!AG439, Imperial_Incremental[Height], 1), MATCH('Cumulative Volumes Imperial'!$F$4, Imperial_Incremental[#Headers], 0)), 0))</f>
        <v/>
      </c>
      <c r="D450" s="30" t="str">
        <f>IF(B450=0,"",IF('Imperial Data'!AG439&gt;=1, INDEX(Imperial_Incremental[], MATCH('Imperial Data'!AG439, Imperial_Incremental[Height], 1), MATCH('Cumulative Volumes Imperial'!$F$4 &amp; "EC", Imperial_Incremental[#Headers], 0)), 0))</f>
        <v/>
      </c>
      <c r="E450" s="30"/>
      <c r="F450" s="30"/>
      <c r="G450" s="30" t="str">
        <f>IF(B450=0,"",IF('Cumulative Volumes Imperial'!$AQ$17=FALSE,I450,H450))</f>
        <v/>
      </c>
      <c r="H450" s="30"/>
      <c r="I450" s="30"/>
      <c r="J450" s="30" t="str">
        <f>IF(B450="","",IF('Cumulative Volumes Imperial'!$AQ$17=FALSE,L450,K450))</f>
        <v/>
      </c>
      <c r="K450" s="30"/>
      <c r="L450" s="30"/>
      <c r="M450" s="30" t="str">
        <f>IF($E$8+45+$E$9&gt;989,"FALSE",IF(B450="","",IF('Cumulative Volumes Imperial'!$AQ$17=FALSE,O450,N450)))</f>
        <v/>
      </c>
      <c r="N450" s="30"/>
      <c r="O450" s="30"/>
      <c r="P450" s="30" t="str">
        <f>IF(B450=0,"",(((1/12)*'Imperial Data'!$AC$4*'Imperial Data'!$AC$5)-C450)*$H$6)</f>
        <v/>
      </c>
      <c r="Q450" s="30"/>
      <c r="R450" s="30" t="str">
        <f>IF(B450=0,"",(((1/12)*'Imperial Data'!$AC$5*'Imperial Data'!$AC$7)-D450)*$H$6)</f>
        <v/>
      </c>
      <c r="S450" s="30"/>
      <c r="T450" s="30"/>
      <c r="U450" s="30"/>
      <c r="V450" s="30"/>
      <c r="W450" s="30" t="str">
        <f t="shared" si="68"/>
        <v/>
      </c>
      <c r="X450" s="31"/>
      <c r="Y450" s="30" t="str">
        <f t="shared" si="69"/>
        <v/>
      </c>
    </row>
    <row r="451" spans="2:25" x14ac:dyDescent="0.2">
      <c r="B451" s="34"/>
      <c r="C451" s="30" t="str">
        <f>IF(B451=0,"",IF('Imperial Data'!AG440&gt;=1, INDEX(Imperial_Incremental[], MATCH('Imperial Data'!AG440, Imperial_Incremental[Height], 1), MATCH('Cumulative Volumes Imperial'!$F$4, Imperial_Incremental[#Headers], 0)), 0))</f>
        <v/>
      </c>
      <c r="D451" s="30" t="str">
        <f>IF(B451=0,"",IF('Imperial Data'!AG440&gt;=1, INDEX(Imperial_Incremental[], MATCH('Imperial Data'!AG440, Imperial_Incremental[Height], 1), MATCH('Cumulative Volumes Imperial'!$F$4 &amp; "EC", Imperial_Incremental[#Headers], 0)), 0))</f>
        <v/>
      </c>
      <c r="E451" s="30"/>
      <c r="F451" s="30"/>
      <c r="G451" s="30" t="str">
        <f>IF(B451=0,"",IF('Cumulative Volumes Imperial'!$AQ$17=FALSE,I451,H451))</f>
        <v/>
      </c>
      <c r="H451" s="30"/>
      <c r="I451" s="30"/>
      <c r="J451" s="30" t="str">
        <f>IF(B451="","",IF('Cumulative Volumes Imperial'!$AQ$17=FALSE,L451,K451))</f>
        <v/>
      </c>
      <c r="K451" s="30"/>
      <c r="L451" s="30"/>
      <c r="M451" s="30" t="str">
        <f>IF($E$8+45+$E$9&gt;989,"FALSE",IF(B451="","",IF('Cumulative Volumes Imperial'!$AQ$17=FALSE,O451,N451)))</f>
        <v/>
      </c>
      <c r="N451" s="30"/>
      <c r="O451" s="30"/>
      <c r="P451" s="30" t="str">
        <f>IF(B451=0,"",(((1/12)*'Imperial Data'!$AC$4*'Imperial Data'!$AC$5)-C451)*$H$6)</f>
        <v/>
      </c>
      <c r="Q451" s="30"/>
      <c r="R451" s="30" t="str">
        <f>IF(B451=0,"",(((1/12)*'Imperial Data'!$AC$5*'Imperial Data'!$AC$7)-D451)*$H$6)</f>
        <v/>
      </c>
      <c r="S451" s="30"/>
      <c r="T451" s="30"/>
      <c r="U451" s="30"/>
      <c r="V451" s="30"/>
      <c r="W451" s="30" t="str">
        <f t="shared" si="68"/>
        <v/>
      </c>
      <c r="X451" s="31"/>
      <c r="Y451" s="30" t="str">
        <f t="shared" si="69"/>
        <v/>
      </c>
    </row>
    <row r="452" spans="2:25" x14ac:dyDescent="0.2">
      <c r="B452" s="34"/>
      <c r="C452" s="30" t="str">
        <f>IF(B452=0,"",IF('Imperial Data'!AG441&gt;=1, INDEX(Imperial_Incremental[], MATCH('Imperial Data'!AG441, Imperial_Incremental[Height], 1), MATCH('Cumulative Volumes Imperial'!$F$4, Imperial_Incremental[#Headers], 0)), 0))</f>
        <v/>
      </c>
      <c r="D452" s="30" t="str">
        <f>IF(B452=0,"",IF('Imperial Data'!AG441&gt;=1, INDEX(Imperial_Incremental[], MATCH('Imperial Data'!AG441, Imperial_Incremental[Height], 1), MATCH('Cumulative Volumes Imperial'!$F$4 &amp; "EC", Imperial_Incremental[#Headers], 0)), 0))</f>
        <v/>
      </c>
      <c r="E452" s="30"/>
      <c r="F452" s="30"/>
      <c r="G452" s="30" t="str">
        <f>IF(B452=0,"",IF('Cumulative Volumes Imperial'!$AQ$17=FALSE,I452,H452))</f>
        <v/>
      </c>
      <c r="H452" s="30"/>
      <c r="I452" s="30"/>
      <c r="J452" s="30" t="str">
        <f>IF(B452="","",IF('Cumulative Volumes Imperial'!$AQ$17=FALSE,L452,K452))</f>
        <v/>
      </c>
      <c r="K452" s="30"/>
      <c r="L452" s="30"/>
      <c r="M452" s="30" t="str">
        <f>IF($E$8+45+$E$9&gt;989,"FALSE",IF(B452="","",IF('Cumulative Volumes Imperial'!$AQ$17=FALSE,O452,N452)))</f>
        <v/>
      </c>
      <c r="N452" s="30"/>
      <c r="O452" s="30"/>
      <c r="P452" s="30" t="str">
        <f>IF(B452=0,"",(((1/12)*'Imperial Data'!$AC$4*'Imperial Data'!$AC$5)-C452)*$H$6)</f>
        <v/>
      </c>
      <c r="Q452" s="30"/>
      <c r="R452" s="30" t="str">
        <f>IF(B452=0,"",(((1/12)*'Imperial Data'!$AC$5*'Imperial Data'!$AC$7)-D452)*$H$6)</f>
        <v/>
      </c>
      <c r="S452" s="30"/>
      <c r="T452" s="30"/>
      <c r="U452" s="30"/>
      <c r="V452" s="30"/>
      <c r="W452" s="30" t="str">
        <f t="shared" si="68"/>
        <v/>
      </c>
      <c r="X452" s="31"/>
      <c r="Y452" s="30" t="str">
        <f t="shared" si="69"/>
        <v/>
      </c>
    </row>
    <row r="453" spans="2:25" x14ac:dyDescent="0.2">
      <c r="B453" s="34"/>
      <c r="C453" s="30" t="str">
        <f>IF(B453=0,"",IF('Imperial Data'!AG442&gt;=1, INDEX(Imperial_Incremental[], MATCH('Imperial Data'!AG442, Imperial_Incremental[Height], 1), MATCH('Cumulative Volumes Imperial'!$F$4, Imperial_Incremental[#Headers], 0)), 0))</f>
        <v/>
      </c>
      <c r="D453" s="30" t="str">
        <f>IF(B453=0,"",IF('Imperial Data'!AG442&gt;=1, INDEX(Imperial_Incremental[], MATCH('Imperial Data'!AG442, Imperial_Incremental[Height], 1), MATCH('Cumulative Volumes Imperial'!$F$4 &amp; "EC", Imperial_Incremental[#Headers], 0)), 0))</f>
        <v/>
      </c>
      <c r="E453" s="30"/>
      <c r="F453" s="30"/>
      <c r="G453" s="30" t="str">
        <f>IF(B453=0,"",IF('Cumulative Volumes Imperial'!$AQ$17=FALSE,I453,H453))</f>
        <v/>
      </c>
      <c r="H453" s="30"/>
      <c r="I453" s="30"/>
      <c r="J453" s="30" t="str">
        <f>IF(B453="","",IF('Cumulative Volumes Imperial'!$AQ$17=FALSE,L453,K453))</f>
        <v/>
      </c>
      <c r="K453" s="30"/>
      <c r="L453" s="30"/>
      <c r="M453" s="30" t="str">
        <f>IF($E$8+45+$E$9&gt;989,"FALSE",IF(B453="","",IF('Cumulative Volumes Imperial'!$AQ$17=FALSE,O453,N453)))</f>
        <v/>
      </c>
      <c r="N453" s="30"/>
      <c r="O453" s="30"/>
      <c r="P453" s="30" t="str">
        <f>IF(B453=0,"",(((1/12)*'Imperial Data'!$AC$4*'Imperial Data'!$AC$5)-C453)*$H$6)</f>
        <v/>
      </c>
      <c r="Q453" s="30"/>
      <c r="R453" s="30" t="str">
        <f>IF(B453=0,"",(((1/12)*'Imperial Data'!$AC$5*'Imperial Data'!$AC$7)-D453)*$H$6)</f>
        <v/>
      </c>
      <c r="S453" s="30"/>
      <c r="T453" s="30"/>
      <c r="U453" s="30"/>
      <c r="V453" s="30"/>
      <c r="W453" s="30" t="str">
        <f t="shared" si="68"/>
        <v/>
      </c>
      <c r="X453" s="31"/>
      <c r="Y453" s="30" t="str">
        <f t="shared" si="69"/>
        <v/>
      </c>
    </row>
    <row r="454" spans="2:25" x14ac:dyDescent="0.2">
      <c r="B454" s="34"/>
      <c r="C454" s="30" t="str">
        <f>IF(B454=0,"",IF('Imperial Data'!AG443&gt;=1, INDEX(Imperial_Incremental[], MATCH('Imperial Data'!AG443, Imperial_Incremental[Height], 1), MATCH('Cumulative Volumes Imperial'!$F$4, Imperial_Incremental[#Headers], 0)), 0))</f>
        <v/>
      </c>
      <c r="D454" s="30" t="str">
        <f>IF(B454=0,"",IF('Imperial Data'!AG443&gt;=1, INDEX(Imperial_Incremental[], MATCH('Imperial Data'!AG443, Imperial_Incremental[Height], 1), MATCH('Cumulative Volumes Imperial'!$F$4 &amp; "EC", Imperial_Incremental[#Headers], 0)), 0))</f>
        <v/>
      </c>
      <c r="E454" s="30"/>
      <c r="F454" s="30"/>
      <c r="G454" s="30" t="str">
        <f>IF(B454=0,"",IF('Cumulative Volumes Imperial'!$AQ$17=FALSE,I454,H454))</f>
        <v/>
      </c>
      <c r="H454" s="30"/>
      <c r="I454" s="30"/>
      <c r="J454" s="30" t="str">
        <f>IF(B454="","",IF('Cumulative Volumes Imperial'!$AQ$17=FALSE,L454,K454))</f>
        <v/>
      </c>
      <c r="K454" s="30"/>
      <c r="L454" s="30"/>
      <c r="M454" s="30" t="str">
        <f>IF($E$8+45+$E$9&gt;989,"FALSE",IF(B454="","",IF('Cumulative Volumes Imperial'!$AQ$17=FALSE,O454,N454)))</f>
        <v/>
      </c>
      <c r="N454" s="30"/>
      <c r="O454" s="30"/>
      <c r="P454" s="30" t="str">
        <f>IF(B454=0,"",(((1/12)*'Imperial Data'!$AC$4*'Imperial Data'!$AC$5)-C454)*$H$6)</f>
        <v/>
      </c>
      <c r="Q454" s="30"/>
      <c r="R454" s="30" t="str">
        <f>IF(B454=0,"",(((1/12)*'Imperial Data'!$AC$5*'Imperial Data'!$AC$7)-D454)*$H$6)</f>
        <v/>
      </c>
      <c r="S454" s="30"/>
      <c r="T454" s="30"/>
      <c r="U454" s="30"/>
      <c r="V454" s="30"/>
      <c r="W454" s="30" t="str">
        <f t="shared" si="68"/>
        <v/>
      </c>
      <c r="X454" s="31"/>
      <c r="Y454" s="30" t="str">
        <f t="shared" si="69"/>
        <v/>
      </c>
    </row>
    <row r="455" spans="2:25" x14ac:dyDescent="0.2">
      <c r="B455" s="34"/>
      <c r="C455" s="30" t="str">
        <f>IF(B455=0,"",IF('Imperial Data'!AG444&gt;=1, INDEX(Imperial_Incremental[], MATCH('Imperial Data'!AG444, Imperial_Incremental[Height], 1), MATCH('Cumulative Volumes Imperial'!$F$4, Imperial_Incremental[#Headers], 0)), 0))</f>
        <v/>
      </c>
      <c r="D455" s="30" t="str">
        <f>IF(B455=0,"",IF('Imperial Data'!AG444&gt;=1, INDEX(Imperial_Incremental[], MATCH('Imperial Data'!AG444, Imperial_Incremental[Height], 1), MATCH('Cumulative Volumes Imperial'!$F$4 &amp; "EC", Imperial_Incremental[#Headers], 0)), 0))</f>
        <v/>
      </c>
      <c r="E455" s="30"/>
      <c r="F455" s="30"/>
      <c r="G455" s="30" t="str">
        <f>IF(B455=0,"",IF('Cumulative Volumes Imperial'!$AQ$17=FALSE,I455,H455))</f>
        <v/>
      </c>
      <c r="H455" s="30"/>
      <c r="I455" s="30"/>
      <c r="J455" s="30" t="str">
        <f>IF(B455="","",IF('Cumulative Volumes Imperial'!$AQ$17=FALSE,L455,K455))</f>
        <v/>
      </c>
      <c r="K455" s="30"/>
      <c r="L455" s="30"/>
      <c r="M455" s="30" t="str">
        <f>IF($E$8+45+$E$9&gt;989,"FALSE",IF(B455="","",IF('Cumulative Volumes Imperial'!$AQ$17=FALSE,O455,N455)))</f>
        <v/>
      </c>
      <c r="N455" s="30"/>
      <c r="O455" s="30"/>
      <c r="P455" s="30" t="str">
        <f>IF(B455=0,"",(((1/12)*'Imperial Data'!$AC$4*'Imperial Data'!$AC$5)-C455)*$H$6)</f>
        <v/>
      </c>
      <c r="Q455" s="30"/>
      <c r="R455" s="30" t="str">
        <f>IF(B455=0,"",(((1/12)*'Imperial Data'!$AC$5*'Imperial Data'!$AC$7)-D455)*$H$6)</f>
        <v/>
      </c>
      <c r="S455" s="30"/>
      <c r="T455" s="30"/>
      <c r="U455" s="30"/>
      <c r="V455" s="30"/>
      <c r="W455" s="30" t="str">
        <f t="shared" si="68"/>
        <v/>
      </c>
      <c r="X455" s="31"/>
      <c r="Y455" s="30" t="str">
        <f t="shared" si="69"/>
        <v/>
      </c>
    </row>
    <row r="456" spans="2:25" x14ac:dyDescent="0.2">
      <c r="B456" s="34"/>
      <c r="C456" s="30" t="str">
        <f>IF(B456=0,"",IF('Imperial Data'!AG445&gt;=1, INDEX(Imperial_Incremental[], MATCH('Imperial Data'!AG445, Imperial_Incremental[Height], 1), MATCH('Cumulative Volumes Imperial'!$F$4, Imperial_Incremental[#Headers], 0)), 0))</f>
        <v/>
      </c>
      <c r="D456" s="30" t="str">
        <f>IF(B456=0,"",IF('Imperial Data'!AG445&gt;=1, INDEX(Imperial_Incremental[], MATCH('Imperial Data'!AG445, Imperial_Incremental[Height], 1), MATCH('Cumulative Volumes Imperial'!$F$4 &amp; "EC", Imperial_Incremental[#Headers], 0)), 0))</f>
        <v/>
      </c>
      <c r="E456" s="30"/>
      <c r="F456" s="30"/>
      <c r="G456" s="30" t="str">
        <f>IF(B456=0,"",IF('Cumulative Volumes Imperial'!$AQ$17=FALSE,I456,H456))</f>
        <v/>
      </c>
      <c r="H456" s="30"/>
      <c r="I456" s="30"/>
      <c r="J456" s="30" t="str">
        <f>IF(B456="","",IF('Cumulative Volumes Imperial'!$AQ$17=FALSE,L456,K456))</f>
        <v/>
      </c>
      <c r="K456" s="30"/>
      <c r="L456" s="30"/>
      <c r="M456" s="30" t="str">
        <f>IF($E$8+45+$E$9&gt;989,"FALSE",IF(B456="","",IF('Cumulative Volumes Imperial'!$AQ$17=FALSE,O456,N456)))</f>
        <v/>
      </c>
      <c r="N456" s="30"/>
      <c r="O456" s="30"/>
      <c r="P456" s="30" t="str">
        <f>IF(B456=0,"",(((1/12)*'Imperial Data'!$AC$4*'Imperial Data'!$AC$5)-C456)*$H$6)</f>
        <v/>
      </c>
      <c r="Q456" s="30"/>
      <c r="R456" s="30" t="str">
        <f>IF(B456=0,"",(((1/12)*'Imperial Data'!$AC$5*'Imperial Data'!$AC$7)-D456)*$H$6)</f>
        <v/>
      </c>
      <c r="S456" s="30"/>
      <c r="T456" s="30"/>
      <c r="U456" s="30"/>
      <c r="V456" s="30"/>
      <c r="W456" s="30" t="str">
        <f t="shared" si="68"/>
        <v/>
      </c>
      <c r="X456" s="31"/>
      <c r="Y456" s="30" t="str">
        <f t="shared" si="69"/>
        <v/>
      </c>
    </row>
    <row r="457" spans="2:25" x14ac:dyDescent="0.2">
      <c r="B457" s="34"/>
      <c r="C457" s="30" t="str">
        <f>IF(B457=0,"",IF('Imperial Data'!AG446&gt;=1, INDEX(Imperial_Incremental[], MATCH('Imperial Data'!AG446, Imperial_Incremental[Height], 1), MATCH('Cumulative Volumes Imperial'!$F$4, Imperial_Incremental[#Headers], 0)), 0))</f>
        <v/>
      </c>
      <c r="D457" s="30" t="str">
        <f>IF(B457=0,"",IF('Imperial Data'!AG446&gt;=1, INDEX(Imperial_Incremental[], MATCH('Imperial Data'!AG446, Imperial_Incremental[Height], 1), MATCH('Cumulative Volumes Imperial'!$F$4 &amp; "EC", Imperial_Incremental[#Headers], 0)), 0))</f>
        <v/>
      </c>
      <c r="E457" s="30"/>
      <c r="F457" s="30"/>
      <c r="G457" s="30" t="str">
        <f>IF(B457=0,"",IF('Cumulative Volumes Imperial'!$AQ$17=FALSE,I457,H457))</f>
        <v/>
      </c>
      <c r="H457" s="30"/>
      <c r="I457" s="30"/>
      <c r="J457" s="30" t="str">
        <f>IF(B457="","",IF('Cumulative Volumes Imperial'!$AQ$17=FALSE,L457,K457))</f>
        <v/>
      </c>
      <c r="K457" s="30"/>
      <c r="L457" s="30"/>
      <c r="M457" s="30" t="str">
        <f>IF($E$8+45+$E$9&gt;989,"FALSE",IF(B457="","",IF('Cumulative Volumes Imperial'!$AQ$17=FALSE,O457,N457)))</f>
        <v/>
      </c>
      <c r="N457" s="30"/>
      <c r="O457" s="30"/>
      <c r="P457" s="30" t="str">
        <f>IF(B457=0,"",(((1/12)*'Imperial Data'!$AC$4*'Imperial Data'!$AC$5)-C457)*$H$6)</f>
        <v/>
      </c>
      <c r="Q457" s="30"/>
      <c r="R457" s="30" t="str">
        <f>IF(B457=0,"",(((1/12)*'Imperial Data'!$AC$5*'Imperial Data'!$AC$7)-D457)*$H$6)</f>
        <v/>
      </c>
      <c r="S457" s="30"/>
      <c r="T457" s="30"/>
      <c r="U457" s="30"/>
      <c r="V457" s="30"/>
      <c r="W457" s="30" t="str">
        <f t="shared" si="68"/>
        <v/>
      </c>
      <c r="X457" s="31"/>
      <c r="Y457" s="30" t="str">
        <f t="shared" si="69"/>
        <v/>
      </c>
    </row>
    <row r="458" spans="2:25" x14ac:dyDescent="0.2">
      <c r="B458" s="34"/>
      <c r="C458" s="30" t="str">
        <f>IF(B458=0,"",IF('Imperial Data'!AG447&gt;=1, INDEX(Imperial_Incremental[], MATCH('Imperial Data'!AG447, Imperial_Incremental[Height], 1), MATCH('Cumulative Volumes Imperial'!$F$4, Imperial_Incremental[#Headers], 0)), 0))</f>
        <v/>
      </c>
      <c r="D458" s="30" t="str">
        <f>IF(B458=0,"",IF('Imperial Data'!AG447&gt;=1, INDEX(Imperial_Incremental[], MATCH('Imperial Data'!AG447, Imperial_Incremental[Height], 1), MATCH('Cumulative Volumes Imperial'!$F$4 &amp; "EC", Imperial_Incremental[#Headers], 0)), 0))</f>
        <v/>
      </c>
      <c r="E458" s="30"/>
      <c r="F458" s="30"/>
      <c r="G458" s="30" t="str">
        <f>IF(B458=0,"",IF('Cumulative Volumes Imperial'!$AQ$17=FALSE,I458,H458))</f>
        <v/>
      </c>
      <c r="H458" s="30"/>
      <c r="I458" s="30"/>
      <c r="J458" s="30" t="str">
        <f>IF(B458="","",IF('Cumulative Volumes Imperial'!$AQ$17=FALSE,L458,K458))</f>
        <v/>
      </c>
      <c r="K458" s="30"/>
      <c r="L458" s="30"/>
      <c r="M458" s="30" t="str">
        <f>IF($E$8+45+$E$9&gt;989,"FALSE",IF(B458="","",IF('Cumulative Volumes Imperial'!$AQ$17=FALSE,O458,N458)))</f>
        <v/>
      </c>
      <c r="N458" s="30"/>
      <c r="O458" s="30"/>
      <c r="P458" s="30" t="str">
        <f>IF(B458=0,"",(((1/12)*'Imperial Data'!$AC$4*'Imperial Data'!$AC$5)-C458)*$H$6)</f>
        <v/>
      </c>
      <c r="Q458" s="30"/>
      <c r="R458" s="30" t="str">
        <f>IF(B458=0,"",(((1/12)*'Imperial Data'!$AC$5*'Imperial Data'!$AC$7)-D458)*$H$6)</f>
        <v/>
      </c>
      <c r="S458" s="30"/>
      <c r="T458" s="30"/>
      <c r="U458" s="30"/>
      <c r="V458" s="30"/>
      <c r="W458" s="30" t="str">
        <f t="shared" si="68"/>
        <v/>
      </c>
      <c r="X458" s="31"/>
      <c r="Y458" s="30" t="str">
        <f t="shared" si="69"/>
        <v/>
      </c>
    </row>
    <row r="459" spans="2:25" x14ac:dyDescent="0.2">
      <c r="B459" s="34"/>
      <c r="C459" s="30" t="str">
        <f>IF(B459=0,"",IF('Imperial Data'!AG448&gt;=1, INDEX(Imperial_Incremental[], MATCH('Imperial Data'!AG448, Imperial_Incremental[Height], 1), MATCH('Cumulative Volumes Imperial'!$F$4, Imperial_Incremental[#Headers], 0)), 0))</f>
        <v/>
      </c>
      <c r="D459" s="30" t="str">
        <f>IF(B459=0,"",IF('Imperial Data'!AG448&gt;=1, INDEX(Imperial_Incremental[], MATCH('Imperial Data'!AG448, Imperial_Incremental[Height], 1), MATCH('Cumulative Volumes Imperial'!$F$4 &amp; "EC", Imperial_Incremental[#Headers], 0)), 0))</f>
        <v/>
      </c>
      <c r="E459" s="30"/>
      <c r="F459" s="30"/>
      <c r="G459" s="30" t="str">
        <f>IF(B459=0,"",IF('Cumulative Volumes Imperial'!$AQ$17=FALSE,I459,H459))</f>
        <v/>
      </c>
      <c r="H459" s="30"/>
      <c r="I459" s="30"/>
      <c r="J459" s="30" t="str">
        <f>IF(B459="","",IF('Cumulative Volumes Imperial'!$AQ$17=FALSE,L459,K459))</f>
        <v/>
      </c>
      <c r="K459" s="30"/>
      <c r="L459" s="30"/>
      <c r="M459" s="30" t="str">
        <f>IF($E$8+45+$E$9&gt;989,"FALSE",IF(B459="","",IF('Cumulative Volumes Imperial'!$AQ$17=FALSE,O459,N459)))</f>
        <v/>
      </c>
      <c r="N459" s="30"/>
      <c r="O459" s="30"/>
      <c r="P459" s="30" t="str">
        <f>IF(B459=0,"",(((1/12)*'Imperial Data'!$AC$4*'Imperial Data'!$AC$5)-C459)*$H$6)</f>
        <v/>
      </c>
      <c r="Q459" s="30"/>
      <c r="R459" s="30" t="str">
        <f>IF(B459=0,"",(((1/12)*'Imperial Data'!$AC$5*'Imperial Data'!$AC$7)-D459)*$H$6)</f>
        <v/>
      </c>
      <c r="S459" s="30"/>
      <c r="T459" s="30"/>
      <c r="U459" s="30"/>
      <c r="V459" s="30"/>
      <c r="W459" s="30" t="str">
        <f t="shared" si="68"/>
        <v/>
      </c>
      <c r="X459" s="31"/>
      <c r="Y459" s="30" t="str">
        <f t="shared" si="69"/>
        <v/>
      </c>
    </row>
    <row r="460" spans="2:25" x14ac:dyDescent="0.2">
      <c r="B460" s="34"/>
      <c r="C460" s="30" t="str">
        <f>IF(B460=0,"",IF('Imperial Data'!AG449&gt;=1, INDEX(Imperial_Incremental[], MATCH('Imperial Data'!AG449, Imperial_Incremental[Height], 1), MATCH('Cumulative Volumes Imperial'!$F$4, Imperial_Incremental[#Headers], 0)), 0))</f>
        <v/>
      </c>
      <c r="D460" s="30" t="str">
        <f>IF(B460=0,"",IF('Imperial Data'!AG449&gt;=1, INDEX(Imperial_Incremental[], MATCH('Imperial Data'!AG449, Imperial_Incremental[Height], 1), MATCH('Cumulative Volumes Imperial'!$F$4 &amp; "EC", Imperial_Incremental[#Headers], 0)), 0))</f>
        <v/>
      </c>
      <c r="E460" s="30"/>
      <c r="F460" s="30"/>
      <c r="G460" s="30" t="str">
        <f>IF(B460=0,"",IF('Cumulative Volumes Imperial'!$AQ$17=FALSE,I460,H460))</f>
        <v/>
      </c>
      <c r="H460" s="30"/>
      <c r="I460" s="30"/>
      <c r="J460" s="30" t="str">
        <f>IF(B460="","",IF('Cumulative Volumes Imperial'!$AQ$17=FALSE,L460,K460))</f>
        <v/>
      </c>
      <c r="K460" s="30"/>
      <c r="L460" s="30"/>
      <c r="M460" s="30" t="str">
        <f>IF($E$8+45+$E$9&gt;989,"FALSE",IF(B460="","",IF('Cumulative Volumes Imperial'!$AQ$17=FALSE,O460,N460)))</f>
        <v/>
      </c>
      <c r="N460" s="30"/>
      <c r="O460" s="30"/>
      <c r="P460" s="30" t="str">
        <f>IF(B460=0,"",(((1/12)*'Imperial Data'!$AC$4*'Imperial Data'!$AC$5)-C460)*$H$6)</f>
        <v/>
      </c>
      <c r="Q460" s="30"/>
      <c r="R460" s="30" t="str">
        <f>IF(B460=0,"",(((1/12)*'Imperial Data'!$AC$5*'Imperial Data'!$AC$7)-D460)*$H$6)</f>
        <v/>
      </c>
      <c r="S460" s="30"/>
      <c r="T460" s="30"/>
      <c r="U460" s="30"/>
      <c r="V460" s="30"/>
      <c r="W460" s="30" t="str">
        <f t="shared" si="68"/>
        <v/>
      </c>
      <c r="X460" s="31"/>
      <c r="Y460" s="30" t="str">
        <f t="shared" si="69"/>
        <v/>
      </c>
    </row>
    <row r="461" spans="2:25" x14ac:dyDescent="0.2">
      <c r="B461" s="34"/>
      <c r="C461" s="30" t="str">
        <f>IF(B461=0,"",IF('Imperial Data'!AG450&gt;=1, INDEX(Imperial_Incremental[], MATCH('Imperial Data'!AG450, Imperial_Incremental[Height], 1), MATCH('Cumulative Volumes Imperial'!$F$4, Imperial_Incremental[#Headers], 0)), 0))</f>
        <v/>
      </c>
      <c r="D461" s="30" t="str">
        <f>IF(B461=0,"",IF('Imperial Data'!AG450&gt;=1, INDEX(Imperial_Incremental[], MATCH('Imperial Data'!AG450, Imperial_Incremental[Height], 1), MATCH('Cumulative Volumes Imperial'!$F$4 &amp; "EC", Imperial_Incremental[#Headers], 0)), 0))</f>
        <v/>
      </c>
      <c r="E461" s="30"/>
      <c r="F461" s="30"/>
      <c r="G461" s="30" t="str">
        <f>IF(B461=0,"",IF('Cumulative Volumes Imperial'!$AQ$17=FALSE,I461,H461))</f>
        <v/>
      </c>
      <c r="H461" s="30"/>
      <c r="I461" s="30"/>
      <c r="J461" s="30" t="str">
        <f>IF(B461="","",IF('Cumulative Volumes Imperial'!$AQ$17=FALSE,L461,K461))</f>
        <v/>
      </c>
      <c r="K461" s="30"/>
      <c r="L461" s="30"/>
      <c r="M461" s="30" t="str">
        <f>IF($E$8+45+$E$9&gt;989,"FALSE",IF(B461="","",IF('Cumulative Volumes Imperial'!$AQ$17=FALSE,O461,N461)))</f>
        <v/>
      </c>
      <c r="N461" s="30"/>
      <c r="O461" s="30"/>
      <c r="P461" s="30" t="str">
        <f>IF(B461=0,"",(((1/12)*'Imperial Data'!$AC$4*'Imperial Data'!$AC$5)-C461)*$H$6)</f>
        <v/>
      </c>
      <c r="Q461" s="30"/>
      <c r="R461" s="30" t="str">
        <f>IF(B461=0,"",(((1/12)*'Imperial Data'!$AC$5*'Imperial Data'!$AC$7)-D461)*$H$6)</f>
        <v/>
      </c>
      <c r="S461" s="30"/>
      <c r="T461" s="30"/>
      <c r="U461" s="30"/>
      <c r="V461" s="30"/>
      <c r="W461" s="30" t="str">
        <f t="shared" si="68"/>
        <v/>
      </c>
      <c r="X461" s="31"/>
      <c r="Y461" s="30" t="str">
        <f t="shared" si="69"/>
        <v/>
      </c>
    </row>
    <row r="462" spans="2:25" x14ac:dyDescent="0.2">
      <c r="B462" s="34"/>
      <c r="C462" s="30" t="str">
        <f>IF(B462=0,"",IF('Imperial Data'!AG451&gt;=1, INDEX(Imperial_Incremental[], MATCH('Imperial Data'!AG451, Imperial_Incremental[Height], 1), MATCH('Cumulative Volumes Imperial'!$F$4, Imperial_Incremental[#Headers], 0)), 0))</f>
        <v/>
      </c>
      <c r="D462" s="30" t="str">
        <f>IF(B462=0,"",IF('Imperial Data'!AG451&gt;=1, INDEX(Imperial_Incremental[], MATCH('Imperial Data'!AG451, Imperial_Incremental[Height], 1), MATCH('Cumulative Volumes Imperial'!$F$4 &amp; "EC", Imperial_Incremental[#Headers], 0)), 0))</f>
        <v/>
      </c>
      <c r="E462" s="30"/>
      <c r="F462" s="30"/>
      <c r="G462" s="30" t="str">
        <f>IF(B462=0,"",IF('Cumulative Volumes Imperial'!$AQ$17=FALSE,I462,H462))</f>
        <v/>
      </c>
      <c r="H462" s="30"/>
      <c r="I462" s="30"/>
      <c r="J462" s="30" t="str">
        <f>IF(B462="","",IF('Cumulative Volumes Imperial'!$AQ$17=FALSE,L462,K462))</f>
        <v/>
      </c>
      <c r="K462" s="30"/>
      <c r="L462" s="30"/>
      <c r="M462" s="30" t="str">
        <f>IF($E$8+45+$E$9&gt;989,"FALSE",IF(B462="","",IF('Cumulative Volumes Imperial'!$AQ$17=FALSE,O462,N462)))</f>
        <v/>
      </c>
      <c r="N462" s="30"/>
      <c r="O462" s="30"/>
      <c r="P462" s="30" t="str">
        <f>IF(B462=0,"",(((1/12)*'Imperial Data'!$AC$4*'Imperial Data'!$AC$5)-C462)*$H$6)</f>
        <v/>
      </c>
      <c r="Q462" s="30"/>
      <c r="R462" s="30" t="str">
        <f>IF(B462=0,"",(((1/12)*'Imperial Data'!$AC$5*'Imperial Data'!$AC$7)-D462)*$H$6)</f>
        <v/>
      </c>
      <c r="S462" s="30"/>
      <c r="T462" s="30"/>
      <c r="U462" s="30"/>
      <c r="V462" s="30"/>
      <c r="W462" s="30" t="str">
        <f t="shared" si="68"/>
        <v/>
      </c>
      <c r="X462" s="31"/>
      <c r="Y462" s="30" t="str">
        <f t="shared" si="69"/>
        <v/>
      </c>
    </row>
    <row r="463" spans="2:25" x14ac:dyDescent="0.2">
      <c r="B463" s="34"/>
      <c r="C463" s="30" t="str">
        <f>IF(B463=0,"",IF('Imperial Data'!AG452&gt;=1, INDEX(Imperial_Incremental[], MATCH('Imperial Data'!AG452, Imperial_Incremental[Height], 1), MATCH('Cumulative Volumes Imperial'!$F$4, Imperial_Incremental[#Headers], 0)), 0))</f>
        <v/>
      </c>
      <c r="D463" s="30" t="str">
        <f>IF(B463=0,"",IF('Imperial Data'!AG452&gt;=1, INDEX(Imperial_Incremental[], MATCH('Imperial Data'!AG452, Imperial_Incremental[Height], 1), MATCH('Cumulative Volumes Imperial'!$F$4 &amp; "EC", Imperial_Incremental[#Headers], 0)), 0))</f>
        <v/>
      </c>
      <c r="E463" s="30"/>
      <c r="F463" s="30"/>
      <c r="G463" s="30" t="str">
        <f>IF(B463=0,"",IF('Cumulative Volumes Imperial'!$AQ$17=FALSE,I463,H463))</f>
        <v/>
      </c>
      <c r="H463" s="30"/>
      <c r="I463" s="30"/>
      <c r="J463" s="30" t="str">
        <f>IF(B463="","",IF('Cumulative Volumes Imperial'!$AQ$17=FALSE,L463,K463))</f>
        <v/>
      </c>
      <c r="K463" s="30"/>
      <c r="L463" s="30"/>
      <c r="M463" s="30" t="str">
        <f>IF($E$8+45+$E$9&gt;989,"FALSE",IF(B463="","",IF('Cumulative Volumes Imperial'!$AQ$17=FALSE,O463,N463)))</f>
        <v/>
      </c>
      <c r="N463" s="30"/>
      <c r="O463" s="30"/>
      <c r="P463" s="30" t="str">
        <f>IF(B463=0,"",(((1/12)*'Imperial Data'!$AC$4*'Imperial Data'!$AC$5)-C463)*$H$6)</f>
        <v/>
      </c>
      <c r="Q463" s="30"/>
      <c r="R463" s="30" t="str">
        <f>IF(B463=0,"",(((1/12)*'Imperial Data'!$AC$5*'Imperial Data'!$AC$7)-D463)*$H$6)</f>
        <v/>
      </c>
      <c r="S463" s="30"/>
      <c r="T463" s="30"/>
      <c r="U463" s="30"/>
      <c r="V463" s="30"/>
      <c r="W463" s="30" t="str">
        <f t="shared" ref="W463:W526" si="70">IF(B463=0,"",IF(B463=1,D463+R463,W464+D463+R463))</f>
        <v/>
      </c>
      <c r="X463" s="31"/>
      <c r="Y463" s="30" t="str">
        <f t="shared" ref="Y463:Y526" si="71">IF(B463=0,"",$E$7+B463/12)</f>
        <v/>
      </c>
    </row>
    <row r="464" spans="2:25" x14ac:dyDescent="0.2">
      <c r="B464" s="34"/>
      <c r="C464" s="30" t="str">
        <f>IF(B464=0,"",IF('Imperial Data'!AG453&gt;=1, INDEX(Imperial_Incremental[], MATCH('Imperial Data'!AG453, Imperial_Incremental[Height], 1), MATCH('Cumulative Volumes Imperial'!$F$4, Imperial_Incremental[#Headers], 0)), 0))</f>
        <v/>
      </c>
      <c r="D464" s="30" t="str">
        <f>IF(B464=0,"",IF('Imperial Data'!AG453&gt;=1, INDEX(Imperial_Incremental[], MATCH('Imperial Data'!AG453, Imperial_Incremental[Height], 1), MATCH('Cumulative Volumes Imperial'!$F$4 &amp; "EC", Imperial_Incremental[#Headers], 0)), 0))</f>
        <v/>
      </c>
      <c r="E464" s="30"/>
      <c r="F464" s="30"/>
      <c r="G464" s="30" t="str">
        <f>IF(B464=0,"",IF('Cumulative Volumes Imperial'!$AQ$17=FALSE,I464,H464))</f>
        <v/>
      </c>
      <c r="H464" s="30"/>
      <c r="I464" s="30"/>
      <c r="J464" s="30" t="str">
        <f>IF(B464="","",IF('Cumulative Volumes Imperial'!$AQ$17=FALSE,L464,K464))</f>
        <v/>
      </c>
      <c r="K464" s="30"/>
      <c r="L464" s="30"/>
      <c r="M464" s="30" t="str">
        <f>IF($E$8+45+$E$9&gt;989,"FALSE",IF(B464="","",IF('Cumulative Volumes Imperial'!$AQ$17=FALSE,O464,N464)))</f>
        <v/>
      </c>
      <c r="N464" s="30"/>
      <c r="O464" s="30"/>
      <c r="P464" s="30" t="str">
        <f>IF(B464=0,"",(((1/12)*'Imperial Data'!$AC$4*'Imperial Data'!$AC$5)-C464)*$H$6)</f>
        <v/>
      </c>
      <c r="Q464" s="30"/>
      <c r="R464" s="30" t="str">
        <f>IF(B464=0,"",(((1/12)*'Imperial Data'!$AC$5*'Imperial Data'!$AC$7)-D464)*$H$6)</f>
        <v/>
      </c>
      <c r="S464" s="30"/>
      <c r="T464" s="30"/>
      <c r="U464" s="30"/>
      <c r="V464" s="30"/>
      <c r="W464" s="30" t="str">
        <f t="shared" si="70"/>
        <v/>
      </c>
      <c r="X464" s="31"/>
      <c r="Y464" s="30" t="str">
        <f t="shared" si="71"/>
        <v/>
      </c>
    </row>
    <row r="465" spans="2:25" x14ac:dyDescent="0.2">
      <c r="B465" s="34"/>
      <c r="C465" s="30" t="str">
        <f>IF(B465=0,"",IF('Imperial Data'!AG454&gt;=1, INDEX(Imperial_Incremental[], MATCH('Imperial Data'!AG454, Imperial_Incremental[Height], 1), MATCH('Cumulative Volumes Imperial'!$F$4, Imperial_Incremental[#Headers], 0)), 0))</f>
        <v/>
      </c>
      <c r="D465" s="30" t="str">
        <f>IF(B465=0,"",IF('Imperial Data'!AG454&gt;=1, INDEX(Imperial_Incremental[], MATCH('Imperial Data'!AG454, Imperial_Incremental[Height], 1), MATCH('Cumulative Volumes Imperial'!$F$4 &amp; "EC", Imperial_Incremental[#Headers], 0)), 0))</f>
        <v/>
      </c>
      <c r="E465" s="30"/>
      <c r="F465" s="30"/>
      <c r="G465" s="30" t="str">
        <f>IF(B465=0,"",IF('Cumulative Volumes Imperial'!$AQ$17=FALSE,I465,H465))</f>
        <v/>
      </c>
      <c r="H465" s="30"/>
      <c r="I465" s="30"/>
      <c r="J465" s="30" t="str">
        <f>IF(B465="","",IF('Cumulative Volumes Imperial'!$AQ$17=FALSE,L465,K465))</f>
        <v/>
      </c>
      <c r="K465" s="30"/>
      <c r="L465" s="30"/>
      <c r="M465" s="30" t="str">
        <f>IF($E$8+45+$E$9&gt;989,"FALSE",IF(B465="","",IF('Cumulative Volumes Imperial'!$AQ$17=FALSE,O465,N465)))</f>
        <v/>
      </c>
      <c r="N465" s="30"/>
      <c r="O465" s="30"/>
      <c r="P465" s="30" t="str">
        <f>IF(B465=0,"",(((1/12)*'Imperial Data'!$AC$4*'Imperial Data'!$AC$5)-C465)*$H$6)</f>
        <v/>
      </c>
      <c r="Q465" s="30"/>
      <c r="R465" s="30" t="str">
        <f>IF(B465=0,"",(((1/12)*'Imperial Data'!$AC$5*'Imperial Data'!$AC$7)-D465)*$H$6)</f>
        <v/>
      </c>
      <c r="S465" s="30"/>
      <c r="T465" s="30"/>
      <c r="U465" s="30"/>
      <c r="V465" s="30"/>
      <c r="W465" s="30" t="str">
        <f t="shared" si="70"/>
        <v/>
      </c>
      <c r="X465" s="31"/>
      <c r="Y465" s="30" t="str">
        <f t="shared" si="71"/>
        <v/>
      </c>
    </row>
    <row r="466" spans="2:25" x14ac:dyDescent="0.2">
      <c r="B466" s="34"/>
      <c r="C466" s="30" t="str">
        <f>IF(B466=0,"",IF('Imperial Data'!AG455&gt;=1, INDEX(Imperial_Incremental[], MATCH('Imperial Data'!AG455, Imperial_Incremental[Height], 1), MATCH('Cumulative Volumes Imperial'!$F$4, Imperial_Incremental[#Headers], 0)), 0))</f>
        <v/>
      </c>
      <c r="D466" s="30" t="str">
        <f>IF(B466=0,"",IF('Imperial Data'!AG455&gt;=1, INDEX(Imperial_Incremental[], MATCH('Imperial Data'!AG455, Imperial_Incremental[Height], 1), MATCH('Cumulative Volumes Imperial'!$F$4 &amp; "EC", Imperial_Incremental[#Headers], 0)), 0))</f>
        <v/>
      </c>
      <c r="E466" s="30"/>
      <c r="F466" s="30"/>
      <c r="G466" s="30" t="str">
        <f>IF(B466=0,"",IF('Cumulative Volumes Imperial'!$AQ$17=FALSE,I466,H466))</f>
        <v/>
      </c>
      <c r="H466" s="30"/>
      <c r="I466" s="30"/>
      <c r="J466" s="30" t="str">
        <f>IF(B466="","",IF('Cumulative Volumes Imperial'!$AQ$17=FALSE,L466,K466))</f>
        <v/>
      </c>
      <c r="K466" s="30"/>
      <c r="L466" s="30"/>
      <c r="M466" s="30" t="str">
        <f>IF($E$8+45+$E$9&gt;989,"FALSE",IF(B466="","",IF('Cumulative Volumes Imperial'!$AQ$17=FALSE,O466,N466)))</f>
        <v/>
      </c>
      <c r="N466" s="30"/>
      <c r="O466" s="30"/>
      <c r="P466" s="30" t="str">
        <f>IF(B466=0,"",(((1/12)*'Imperial Data'!$AC$4*'Imperial Data'!$AC$5)-C466)*$H$6)</f>
        <v/>
      </c>
      <c r="Q466" s="30"/>
      <c r="R466" s="30" t="str">
        <f>IF(B466=0,"",(((1/12)*'Imperial Data'!$AC$5*'Imperial Data'!$AC$7)-D466)*$H$6)</f>
        <v/>
      </c>
      <c r="S466" s="30"/>
      <c r="T466" s="30"/>
      <c r="U466" s="30"/>
      <c r="V466" s="30"/>
      <c r="W466" s="30" t="str">
        <f t="shared" si="70"/>
        <v/>
      </c>
      <c r="X466" s="31"/>
      <c r="Y466" s="30" t="str">
        <f t="shared" si="71"/>
        <v/>
      </c>
    </row>
    <row r="467" spans="2:25" x14ac:dyDescent="0.2">
      <c r="B467" s="34"/>
      <c r="C467" s="30" t="str">
        <f>IF(B467=0,"",IF('Imperial Data'!AG456&gt;=1, INDEX(Imperial_Incremental[], MATCH('Imperial Data'!AG456, Imperial_Incremental[Height], 1), MATCH('Cumulative Volumes Imperial'!$F$4, Imperial_Incremental[#Headers], 0)), 0))</f>
        <v/>
      </c>
      <c r="D467" s="30" t="str">
        <f>IF(B467=0,"",IF('Imperial Data'!AG456&gt;=1, INDEX(Imperial_Incremental[], MATCH('Imperial Data'!AG456, Imperial_Incremental[Height], 1), MATCH('Cumulative Volumes Imperial'!$F$4 &amp; "EC", Imperial_Incremental[#Headers], 0)), 0))</f>
        <v/>
      </c>
      <c r="E467" s="30"/>
      <c r="F467" s="30"/>
      <c r="G467" s="30" t="str">
        <f>IF(B467=0,"",IF('Cumulative Volumes Imperial'!$AQ$17=FALSE,I467,H467))</f>
        <v/>
      </c>
      <c r="H467" s="30"/>
      <c r="I467" s="30"/>
      <c r="J467" s="30" t="str">
        <f>IF(B467="","",IF('Cumulative Volumes Imperial'!$AQ$17=FALSE,L467,K467))</f>
        <v/>
      </c>
      <c r="K467" s="30"/>
      <c r="L467" s="30"/>
      <c r="M467" s="30" t="str">
        <f>IF($E$8+45+$E$9&gt;989,"FALSE",IF(B467="","",IF('Cumulative Volumes Imperial'!$AQ$17=FALSE,O467,N467)))</f>
        <v/>
      </c>
      <c r="N467" s="30"/>
      <c r="O467" s="30"/>
      <c r="P467" s="30" t="str">
        <f>IF(B467=0,"",(((1/12)*'Imperial Data'!$AC$4*'Imperial Data'!$AC$5)-C467)*$H$6)</f>
        <v/>
      </c>
      <c r="Q467" s="30"/>
      <c r="R467" s="30" t="str">
        <f>IF(B467=0,"",(((1/12)*'Imperial Data'!$AC$5*'Imperial Data'!$AC$7)-D467)*$H$6)</f>
        <v/>
      </c>
      <c r="S467" s="30"/>
      <c r="T467" s="30"/>
      <c r="U467" s="30"/>
      <c r="V467" s="30"/>
      <c r="W467" s="30" t="str">
        <f t="shared" si="70"/>
        <v/>
      </c>
      <c r="X467" s="31"/>
      <c r="Y467" s="30" t="str">
        <f t="shared" si="71"/>
        <v/>
      </c>
    </row>
    <row r="468" spans="2:25" x14ac:dyDescent="0.2">
      <c r="B468" s="34"/>
      <c r="C468" s="30" t="str">
        <f>IF(B468=0,"",IF('Imperial Data'!AG457&gt;=1, INDEX(Imperial_Incremental[], MATCH('Imperial Data'!AG457, Imperial_Incremental[Height], 1), MATCH('Cumulative Volumes Imperial'!$F$4, Imperial_Incremental[#Headers], 0)), 0))</f>
        <v/>
      </c>
      <c r="D468" s="30" t="str">
        <f>IF(B468=0,"",IF('Imperial Data'!AG457&gt;=1, INDEX(Imperial_Incremental[], MATCH('Imperial Data'!AG457, Imperial_Incremental[Height], 1), MATCH('Cumulative Volumes Imperial'!$F$4 &amp; "EC", Imperial_Incremental[#Headers], 0)), 0))</f>
        <v/>
      </c>
      <c r="E468" s="30"/>
      <c r="F468" s="30"/>
      <c r="G468" s="30" t="str">
        <f>IF(B468=0,"",IF('Cumulative Volumes Imperial'!$AQ$17=FALSE,I468,H468))</f>
        <v/>
      </c>
      <c r="H468" s="30"/>
      <c r="I468" s="30"/>
      <c r="J468" s="30" t="str">
        <f>IF(B468="","",IF('Cumulative Volumes Imperial'!$AQ$17=FALSE,L468,K468))</f>
        <v/>
      </c>
      <c r="K468" s="30"/>
      <c r="L468" s="30"/>
      <c r="M468" s="30" t="str">
        <f>IF($E$8+45+$E$9&gt;989,"FALSE",IF(B468="","",IF('Cumulative Volumes Imperial'!$AQ$17=FALSE,O468,N468)))</f>
        <v/>
      </c>
      <c r="N468" s="30"/>
      <c r="O468" s="30"/>
      <c r="P468" s="30" t="str">
        <f>IF(B468=0,"",(((1/12)*'Imperial Data'!$AC$4*'Imperial Data'!$AC$5)-C468)*$H$6)</f>
        <v/>
      </c>
      <c r="Q468" s="30"/>
      <c r="R468" s="30" t="str">
        <f>IF(B468=0,"",(((1/12)*'Imperial Data'!$AC$5*'Imperial Data'!$AC$7)-D468)*$H$6)</f>
        <v/>
      </c>
      <c r="S468" s="30"/>
      <c r="T468" s="30"/>
      <c r="U468" s="30"/>
      <c r="V468" s="30"/>
      <c r="W468" s="30" t="str">
        <f t="shared" si="70"/>
        <v/>
      </c>
      <c r="X468" s="31"/>
      <c r="Y468" s="30" t="str">
        <f t="shared" si="71"/>
        <v/>
      </c>
    </row>
    <row r="469" spans="2:25" x14ac:dyDescent="0.2">
      <c r="B469" s="34"/>
      <c r="C469" s="30" t="str">
        <f>IF(B469=0,"",IF('Imperial Data'!AG458&gt;=1, INDEX(Imperial_Incremental[], MATCH('Imperial Data'!AG458, Imperial_Incremental[Height], 1), MATCH('Cumulative Volumes Imperial'!$F$4, Imperial_Incremental[#Headers], 0)), 0))</f>
        <v/>
      </c>
      <c r="D469" s="30" t="str">
        <f>IF(B469=0,"",IF('Imperial Data'!AG458&gt;=1, INDEX(Imperial_Incremental[], MATCH('Imperial Data'!AG458, Imperial_Incremental[Height], 1), MATCH('Cumulative Volumes Imperial'!$F$4 &amp; "EC", Imperial_Incremental[#Headers], 0)), 0))</f>
        <v/>
      </c>
      <c r="E469" s="30"/>
      <c r="F469" s="30"/>
      <c r="G469" s="30" t="str">
        <f>IF(B469=0,"",IF('Cumulative Volumes Imperial'!$AQ$17=FALSE,I469,H469))</f>
        <v/>
      </c>
      <c r="H469" s="30"/>
      <c r="I469" s="30"/>
      <c r="J469" s="30" t="str">
        <f>IF(B469="","",IF('Cumulative Volumes Imperial'!$AQ$17=FALSE,L469,K469))</f>
        <v/>
      </c>
      <c r="K469" s="30"/>
      <c r="L469" s="30"/>
      <c r="M469" s="30" t="str">
        <f>IF($E$8+45+$E$9&gt;989,"FALSE",IF(B469="","",IF('Cumulative Volumes Imperial'!$AQ$17=FALSE,O469,N469)))</f>
        <v/>
      </c>
      <c r="N469" s="30"/>
      <c r="O469" s="30"/>
      <c r="P469" s="30" t="str">
        <f>IF(B469=0,"",(((1/12)*'Imperial Data'!$AC$4*'Imperial Data'!$AC$5)-C469)*$H$6)</f>
        <v/>
      </c>
      <c r="Q469" s="30"/>
      <c r="R469" s="30" t="str">
        <f>IF(B469=0,"",(((1/12)*'Imperial Data'!$AC$5*'Imperial Data'!$AC$7)-D469)*$H$6)</f>
        <v/>
      </c>
      <c r="S469" s="30"/>
      <c r="T469" s="30"/>
      <c r="U469" s="30"/>
      <c r="V469" s="30"/>
      <c r="W469" s="30" t="str">
        <f t="shared" si="70"/>
        <v/>
      </c>
      <c r="X469" s="31"/>
      <c r="Y469" s="30" t="str">
        <f t="shared" si="71"/>
        <v/>
      </c>
    </row>
    <row r="470" spans="2:25" x14ac:dyDescent="0.2">
      <c r="B470" s="34"/>
      <c r="C470" s="30" t="str">
        <f>IF(B470=0,"",IF('Imperial Data'!AG459&gt;=1, INDEX(Imperial_Incremental[], MATCH('Imperial Data'!AG459, Imperial_Incremental[Height], 1), MATCH('Cumulative Volumes Imperial'!$F$4, Imperial_Incremental[#Headers], 0)), 0))</f>
        <v/>
      </c>
      <c r="D470" s="30" t="str">
        <f>IF(B470=0,"",IF('Imperial Data'!AG459&gt;=1, INDEX(Imperial_Incremental[], MATCH('Imperial Data'!AG459, Imperial_Incremental[Height], 1), MATCH('Cumulative Volumes Imperial'!$F$4 &amp; "EC", Imperial_Incremental[#Headers], 0)), 0))</f>
        <v/>
      </c>
      <c r="E470" s="30"/>
      <c r="F470" s="30"/>
      <c r="G470" s="30" t="str">
        <f>IF(B470=0,"",IF('Cumulative Volumes Imperial'!$AQ$17=FALSE,I470,H470))</f>
        <v/>
      </c>
      <c r="H470" s="30"/>
      <c r="I470" s="30"/>
      <c r="J470" s="30" t="str">
        <f>IF(B470="","",IF('Cumulative Volumes Imperial'!$AQ$17=FALSE,L470,K470))</f>
        <v/>
      </c>
      <c r="K470" s="30"/>
      <c r="L470" s="30"/>
      <c r="M470" s="30" t="str">
        <f>IF($E$8+45+$E$9&gt;989,"FALSE",IF(B470="","",IF('Cumulative Volumes Imperial'!$AQ$17=FALSE,O470,N470)))</f>
        <v/>
      </c>
      <c r="N470" s="30"/>
      <c r="O470" s="30"/>
      <c r="P470" s="30" t="str">
        <f>IF(B470=0,"",(((1/12)*'Imperial Data'!$AC$4*'Imperial Data'!$AC$5)-C470)*$H$6)</f>
        <v/>
      </c>
      <c r="Q470" s="30"/>
      <c r="R470" s="30" t="str">
        <f>IF(B470=0,"",(((1/12)*'Imperial Data'!$AC$5*'Imperial Data'!$AC$7)-D470)*$H$6)</f>
        <v/>
      </c>
      <c r="S470" s="30"/>
      <c r="T470" s="30"/>
      <c r="U470" s="30"/>
      <c r="V470" s="30"/>
      <c r="W470" s="30" t="str">
        <f t="shared" si="70"/>
        <v/>
      </c>
      <c r="X470" s="31"/>
      <c r="Y470" s="30" t="str">
        <f t="shared" si="71"/>
        <v/>
      </c>
    </row>
    <row r="471" spans="2:25" x14ac:dyDescent="0.2">
      <c r="B471" s="34"/>
      <c r="C471" s="30" t="str">
        <f>IF(B471=0,"",IF('Imperial Data'!AG460&gt;=1, INDEX(Imperial_Incremental[], MATCH('Imperial Data'!AG460, Imperial_Incremental[Height], 1), MATCH('Cumulative Volumes Imperial'!$F$4, Imperial_Incremental[#Headers], 0)), 0))</f>
        <v/>
      </c>
      <c r="D471" s="30" t="str">
        <f>IF(B471=0,"",IF('Imperial Data'!AG460&gt;=1, INDEX(Imperial_Incremental[], MATCH('Imperial Data'!AG460, Imperial_Incremental[Height], 1), MATCH('Cumulative Volumes Imperial'!$F$4 &amp; "EC", Imperial_Incremental[#Headers], 0)), 0))</f>
        <v/>
      </c>
      <c r="E471" s="30"/>
      <c r="F471" s="30"/>
      <c r="G471" s="30" t="str">
        <f>IF(B471=0,"",IF('Cumulative Volumes Imperial'!$AQ$17=FALSE,I471,H471))</f>
        <v/>
      </c>
      <c r="H471" s="30"/>
      <c r="I471" s="30"/>
      <c r="J471" s="30" t="str">
        <f>IF(B471="","",IF('Cumulative Volumes Imperial'!$AQ$17=FALSE,L471,K471))</f>
        <v/>
      </c>
      <c r="K471" s="30"/>
      <c r="L471" s="30"/>
      <c r="M471" s="30" t="str">
        <f>IF($E$8+45+$E$9&gt;989,"FALSE",IF(B471="","",IF('Cumulative Volumes Imperial'!$AQ$17=FALSE,O471,N471)))</f>
        <v/>
      </c>
      <c r="N471" s="30"/>
      <c r="O471" s="30"/>
      <c r="P471" s="30" t="str">
        <f>IF(B471=0,"",(((1/12)*'Imperial Data'!$AC$4*'Imperial Data'!$AC$5)-C471)*$H$6)</f>
        <v/>
      </c>
      <c r="Q471" s="30"/>
      <c r="R471" s="30" t="str">
        <f>IF(B471=0,"",(((1/12)*'Imperial Data'!$AC$5*'Imperial Data'!$AC$7)-D471)*$H$6)</f>
        <v/>
      </c>
      <c r="S471" s="30"/>
      <c r="T471" s="30"/>
      <c r="U471" s="30"/>
      <c r="V471" s="30"/>
      <c r="W471" s="30" t="str">
        <f t="shared" si="70"/>
        <v/>
      </c>
      <c r="X471" s="31"/>
      <c r="Y471" s="30" t="str">
        <f t="shared" si="71"/>
        <v/>
      </c>
    </row>
    <row r="472" spans="2:25" x14ac:dyDescent="0.2">
      <c r="B472" s="34"/>
      <c r="C472" s="30" t="str">
        <f>IF(B472=0,"",IF('Imperial Data'!AG461&gt;=1, INDEX(Imperial_Incremental[], MATCH('Imperial Data'!AG461, Imperial_Incremental[Height], 1), MATCH('Cumulative Volumes Imperial'!$F$4, Imperial_Incremental[#Headers], 0)), 0))</f>
        <v/>
      </c>
      <c r="D472" s="30" t="str">
        <f>IF(B472=0,"",IF('Imperial Data'!AG461&gt;=1, INDEX(Imperial_Incremental[], MATCH('Imperial Data'!AG461, Imperial_Incremental[Height], 1), MATCH('Cumulative Volumes Imperial'!$F$4 &amp; "EC", Imperial_Incremental[#Headers], 0)), 0))</f>
        <v/>
      </c>
      <c r="E472" s="30"/>
      <c r="F472" s="30"/>
      <c r="G472" s="30" t="str">
        <f>IF(B472=0,"",IF('Cumulative Volumes Imperial'!$AQ$17=FALSE,I472,H472))</f>
        <v/>
      </c>
      <c r="H472" s="30"/>
      <c r="I472" s="30"/>
      <c r="J472" s="30" t="str">
        <f>IF(B472="","",IF('Cumulative Volumes Imperial'!$AQ$17=FALSE,L472,K472))</f>
        <v/>
      </c>
      <c r="K472" s="30"/>
      <c r="L472" s="30"/>
      <c r="M472" s="30" t="str">
        <f>IF($E$8+45+$E$9&gt;989,"FALSE",IF(B472="","",IF('Cumulative Volumes Imperial'!$AQ$17=FALSE,O472,N472)))</f>
        <v/>
      </c>
      <c r="N472" s="30"/>
      <c r="O472" s="30"/>
      <c r="P472" s="30" t="str">
        <f>IF(B472=0,"",(((1/12)*'Imperial Data'!$AC$4*'Imperial Data'!$AC$5)-C472)*$H$6)</f>
        <v/>
      </c>
      <c r="Q472" s="30"/>
      <c r="R472" s="30" t="str">
        <f>IF(B472=0,"",(((1/12)*'Imperial Data'!$AC$5*'Imperial Data'!$AC$7)-D472)*$H$6)</f>
        <v/>
      </c>
      <c r="S472" s="30"/>
      <c r="T472" s="30"/>
      <c r="U472" s="30"/>
      <c r="V472" s="30"/>
      <c r="W472" s="30" t="str">
        <f t="shared" si="70"/>
        <v/>
      </c>
      <c r="X472" s="31"/>
      <c r="Y472" s="30" t="str">
        <f t="shared" si="71"/>
        <v/>
      </c>
    </row>
    <row r="473" spans="2:25" x14ac:dyDescent="0.2">
      <c r="B473" s="34"/>
      <c r="C473" s="30" t="str">
        <f>IF(B473=0,"",IF('Imperial Data'!AG462&gt;=1, INDEX(Imperial_Incremental[], MATCH('Imperial Data'!AG462, Imperial_Incremental[Height], 1), MATCH('Cumulative Volumes Imperial'!$F$4, Imperial_Incremental[#Headers], 0)), 0))</f>
        <v/>
      </c>
      <c r="D473" s="30" t="str">
        <f>IF(B473=0,"",IF('Imperial Data'!AG462&gt;=1, INDEX(Imperial_Incremental[], MATCH('Imperial Data'!AG462, Imperial_Incremental[Height], 1), MATCH('Cumulative Volumes Imperial'!$F$4 &amp; "EC", Imperial_Incremental[#Headers], 0)), 0))</f>
        <v/>
      </c>
      <c r="E473" s="30"/>
      <c r="F473" s="30"/>
      <c r="G473" s="30" t="str">
        <f>IF(B473=0,"",IF('Cumulative Volumes Imperial'!$AQ$17=FALSE,I473,H473))</f>
        <v/>
      </c>
      <c r="H473" s="30"/>
      <c r="I473" s="30"/>
      <c r="J473" s="30" t="str">
        <f>IF(B473="","",IF('Cumulative Volumes Imperial'!$AQ$17=FALSE,L473,K473))</f>
        <v/>
      </c>
      <c r="K473" s="30"/>
      <c r="L473" s="30"/>
      <c r="M473" s="30" t="str">
        <f>IF($E$8+45+$E$9&gt;989,"FALSE",IF(B473="","",IF('Cumulative Volumes Imperial'!$AQ$17=FALSE,O473,N473)))</f>
        <v/>
      </c>
      <c r="N473" s="30"/>
      <c r="O473" s="30"/>
      <c r="P473" s="30" t="str">
        <f>IF(B473=0,"",(((1/12)*'Imperial Data'!$AC$4*'Imperial Data'!$AC$5)-C473)*$H$6)</f>
        <v/>
      </c>
      <c r="Q473" s="30"/>
      <c r="R473" s="30" t="str">
        <f>IF(B473=0,"",(((1/12)*'Imperial Data'!$AC$5*'Imperial Data'!$AC$7)-D473)*$H$6)</f>
        <v/>
      </c>
      <c r="S473" s="30"/>
      <c r="T473" s="30"/>
      <c r="U473" s="30"/>
      <c r="V473" s="30"/>
      <c r="W473" s="30" t="str">
        <f t="shared" si="70"/>
        <v/>
      </c>
      <c r="X473" s="31"/>
      <c r="Y473" s="30" t="str">
        <f t="shared" si="71"/>
        <v/>
      </c>
    </row>
    <row r="474" spans="2:25" x14ac:dyDescent="0.2">
      <c r="B474" s="34"/>
      <c r="C474" s="30" t="str">
        <f>IF(B474=0,"",IF('Imperial Data'!AG463&gt;=1, INDEX(Imperial_Incremental[], MATCH('Imperial Data'!AG463, Imperial_Incremental[Height], 1), MATCH('Cumulative Volumes Imperial'!$F$4, Imperial_Incremental[#Headers], 0)), 0))</f>
        <v/>
      </c>
      <c r="D474" s="30" t="str">
        <f>IF(B474=0,"",IF('Imperial Data'!AG463&gt;=1, INDEX(Imperial_Incremental[], MATCH('Imperial Data'!AG463, Imperial_Incremental[Height], 1), MATCH('Cumulative Volumes Imperial'!$F$4 &amp; "EC", Imperial_Incremental[#Headers], 0)), 0))</f>
        <v/>
      </c>
      <c r="E474" s="30"/>
      <c r="F474" s="30"/>
      <c r="G474" s="30" t="str">
        <f>IF(B474=0,"",IF('Cumulative Volumes Imperial'!$AQ$17=FALSE,I474,H474))</f>
        <v/>
      </c>
      <c r="H474" s="30"/>
      <c r="I474" s="30"/>
      <c r="J474" s="30" t="str">
        <f>IF(B474="","",IF('Cumulative Volumes Imperial'!$AQ$17=FALSE,L474,K474))</f>
        <v/>
      </c>
      <c r="K474" s="30"/>
      <c r="L474" s="30"/>
      <c r="M474" s="30" t="str">
        <f>IF($E$8+45+$E$9&gt;989,"FALSE",IF(B474="","",IF('Cumulative Volumes Imperial'!$AQ$17=FALSE,O474,N474)))</f>
        <v/>
      </c>
      <c r="N474" s="30"/>
      <c r="O474" s="30"/>
      <c r="P474" s="30" t="str">
        <f>IF(B474=0,"",(((1/12)*'Imperial Data'!$AC$4*'Imperial Data'!$AC$5)-C474)*$H$6)</f>
        <v/>
      </c>
      <c r="Q474" s="30"/>
      <c r="R474" s="30" t="str">
        <f>IF(B474=0,"",(((1/12)*'Imperial Data'!$AC$5*'Imperial Data'!$AC$7)-D474)*$H$6)</f>
        <v/>
      </c>
      <c r="S474" s="30"/>
      <c r="T474" s="30"/>
      <c r="U474" s="30"/>
      <c r="V474" s="30"/>
      <c r="W474" s="30" t="str">
        <f t="shared" si="70"/>
        <v/>
      </c>
      <c r="X474" s="31"/>
      <c r="Y474" s="30" t="str">
        <f t="shared" si="71"/>
        <v/>
      </c>
    </row>
    <row r="475" spans="2:25" x14ac:dyDescent="0.2">
      <c r="B475" s="34"/>
      <c r="C475" s="30" t="str">
        <f>IF(B475=0,"",IF('Imperial Data'!AG464&gt;=1, INDEX(Imperial_Incremental[], MATCH('Imperial Data'!AG464, Imperial_Incremental[Height], 1), MATCH('Cumulative Volumes Imperial'!$F$4, Imperial_Incremental[#Headers], 0)), 0))</f>
        <v/>
      </c>
      <c r="D475" s="30" t="str">
        <f>IF(B475=0,"",IF('Imperial Data'!AG464&gt;=1, INDEX(Imperial_Incremental[], MATCH('Imperial Data'!AG464, Imperial_Incremental[Height], 1), MATCH('Cumulative Volumes Imperial'!$F$4 &amp; "EC", Imperial_Incremental[#Headers], 0)), 0))</f>
        <v/>
      </c>
      <c r="E475" s="30"/>
      <c r="F475" s="30"/>
      <c r="G475" s="30" t="str">
        <f>IF(B475=0,"",IF('Cumulative Volumes Imperial'!$AQ$17=FALSE,I475,H475))</f>
        <v/>
      </c>
      <c r="H475" s="30"/>
      <c r="I475" s="30"/>
      <c r="J475" s="30" t="str">
        <f>IF(B475="","",IF('Cumulative Volumes Imperial'!$AQ$17=FALSE,L475,K475))</f>
        <v/>
      </c>
      <c r="K475" s="30"/>
      <c r="L475" s="30"/>
      <c r="M475" s="30" t="str">
        <f>IF($E$8+45+$E$9&gt;989,"FALSE",IF(B475="","",IF('Cumulative Volumes Imperial'!$AQ$17=FALSE,O475,N475)))</f>
        <v/>
      </c>
      <c r="N475" s="30"/>
      <c r="O475" s="30"/>
      <c r="P475" s="30" t="str">
        <f>IF(B475=0,"",(((1/12)*'Imperial Data'!$AC$4*'Imperial Data'!$AC$5)-C475)*$H$6)</f>
        <v/>
      </c>
      <c r="Q475" s="30"/>
      <c r="R475" s="30" t="str">
        <f>IF(B475=0,"",(((1/12)*'Imperial Data'!$AC$5*'Imperial Data'!$AC$7)-D475)*$H$6)</f>
        <v/>
      </c>
      <c r="S475" s="30"/>
      <c r="T475" s="30"/>
      <c r="U475" s="30"/>
      <c r="V475" s="30"/>
      <c r="W475" s="30" t="str">
        <f t="shared" si="70"/>
        <v/>
      </c>
      <c r="X475" s="31"/>
      <c r="Y475" s="30" t="str">
        <f t="shared" si="71"/>
        <v/>
      </c>
    </row>
    <row r="476" spans="2:25" x14ac:dyDescent="0.2">
      <c r="B476" s="34"/>
      <c r="C476" s="30" t="str">
        <f>IF(B476=0,"",IF('Imperial Data'!AG465&gt;=1, INDEX(Imperial_Incremental[], MATCH('Imperial Data'!AG465, Imperial_Incremental[Height], 1), MATCH('Cumulative Volumes Imperial'!$F$4, Imperial_Incremental[#Headers], 0)), 0))</f>
        <v/>
      </c>
      <c r="D476" s="30" t="str">
        <f>IF(B476=0,"",IF('Imperial Data'!AG465&gt;=1, INDEX(Imperial_Incremental[], MATCH('Imperial Data'!AG465, Imperial_Incremental[Height], 1), MATCH('Cumulative Volumes Imperial'!$F$4 &amp; "EC", Imperial_Incremental[#Headers], 0)), 0))</f>
        <v/>
      </c>
      <c r="E476" s="30"/>
      <c r="F476" s="30"/>
      <c r="G476" s="30" t="str">
        <f>IF(B476=0,"",IF('Cumulative Volumes Imperial'!$AQ$17=FALSE,I476,H476))</f>
        <v/>
      </c>
      <c r="H476" s="30"/>
      <c r="I476" s="30"/>
      <c r="J476" s="30" t="str">
        <f>IF(B476="","",IF('Cumulative Volumes Imperial'!$AQ$17=FALSE,L476,K476))</f>
        <v/>
      </c>
      <c r="K476" s="30"/>
      <c r="L476" s="30"/>
      <c r="M476" s="30" t="str">
        <f>IF($E$8+45+$E$9&gt;989,"FALSE",IF(B476="","",IF('Cumulative Volumes Imperial'!$AQ$17=FALSE,O476,N476)))</f>
        <v/>
      </c>
      <c r="N476" s="30"/>
      <c r="O476" s="30"/>
      <c r="P476" s="30" t="str">
        <f>IF(B476=0,"",(((1/12)*'Imperial Data'!$AC$4*'Imperial Data'!$AC$5)-C476)*$H$6)</f>
        <v/>
      </c>
      <c r="Q476" s="30"/>
      <c r="R476" s="30" t="str">
        <f>IF(B476=0,"",(((1/12)*'Imperial Data'!$AC$5*'Imperial Data'!$AC$7)-D476)*$H$6)</f>
        <v/>
      </c>
      <c r="S476" s="30"/>
      <c r="T476" s="30"/>
      <c r="U476" s="30"/>
      <c r="V476" s="30"/>
      <c r="W476" s="30" t="str">
        <f t="shared" si="70"/>
        <v/>
      </c>
      <c r="X476" s="31"/>
      <c r="Y476" s="30" t="str">
        <f t="shared" si="71"/>
        <v/>
      </c>
    </row>
    <row r="477" spans="2:25" x14ac:dyDescent="0.2">
      <c r="B477" s="34"/>
      <c r="C477" s="30" t="str">
        <f>IF(B477=0,"",IF('Imperial Data'!AG466&gt;=1, INDEX(Imperial_Incremental[], MATCH('Imperial Data'!AG466, Imperial_Incremental[Height], 1), MATCH('Cumulative Volumes Imperial'!$F$4, Imperial_Incremental[#Headers], 0)), 0))</f>
        <v/>
      </c>
      <c r="D477" s="30" t="str">
        <f>IF(B477=0,"",IF('Imperial Data'!AG466&gt;=1, INDEX(Imperial_Incremental[], MATCH('Imperial Data'!AG466, Imperial_Incremental[Height], 1), MATCH('Cumulative Volumes Imperial'!$F$4 &amp; "EC", Imperial_Incremental[#Headers], 0)), 0))</f>
        <v/>
      </c>
      <c r="E477" s="30"/>
      <c r="F477" s="30"/>
      <c r="G477" s="30" t="str">
        <f>IF(B477=0,"",IF('Cumulative Volumes Imperial'!$AQ$17=FALSE,I477,H477))</f>
        <v/>
      </c>
      <c r="H477" s="30"/>
      <c r="I477" s="30"/>
      <c r="J477" s="30" t="str">
        <f>IF(B477="","",IF('Cumulative Volumes Imperial'!$AQ$17=FALSE,L477,K477))</f>
        <v/>
      </c>
      <c r="K477" s="30"/>
      <c r="L477" s="30"/>
      <c r="M477" s="30" t="str">
        <f>IF($E$8+45+$E$9&gt;989,"FALSE",IF(B477="","",IF('Cumulative Volumes Imperial'!$AQ$17=FALSE,O477,N477)))</f>
        <v/>
      </c>
      <c r="N477" s="30"/>
      <c r="O477" s="30"/>
      <c r="P477" s="30" t="str">
        <f>IF(B477=0,"",(((1/12)*'Imperial Data'!$AC$4*'Imperial Data'!$AC$5)-C477)*$H$6)</f>
        <v/>
      </c>
      <c r="Q477" s="30"/>
      <c r="R477" s="30" t="str">
        <f>IF(B477=0,"",(((1/12)*'Imperial Data'!$AC$5*'Imperial Data'!$AC$7)-D477)*$H$6)</f>
        <v/>
      </c>
      <c r="S477" s="30"/>
      <c r="T477" s="30"/>
      <c r="U477" s="30"/>
      <c r="V477" s="30"/>
      <c r="W477" s="30" t="str">
        <f t="shared" si="70"/>
        <v/>
      </c>
      <c r="X477" s="31"/>
      <c r="Y477" s="30" t="str">
        <f t="shared" si="71"/>
        <v/>
      </c>
    </row>
    <row r="478" spans="2:25" x14ac:dyDescent="0.2">
      <c r="B478" s="34"/>
      <c r="C478" s="30" t="str">
        <f>IF(B478=0,"",IF('Imperial Data'!AG467&gt;=1, INDEX(Imperial_Incremental[], MATCH('Imperial Data'!AG467, Imperial_Incremental[Height], 1), MATCH('Cumulative Volumes Imperial'!$F$4, Imperial_Incremental[#Headers], 0)), 0))</f>
        <v/>
      </c>
      <c r="D478" s="30" t="str">
        <f>IF(B478=0,"",IF('Imperial Data'!AG467&gt;=1, INDEX(Imperial_Incremental[], MATCH('Imperial Data'!AG467, Imperial_Incremental[Height], 1), MATCH('Cumulative Volumes Imperial'!$F$4 &amp; "EC", Imperial_Incremental[#Headers], 0)), 0))</f>
        <v/>
      </c>
      <c r="E478" s="30"/>
      <c r="F478" s="30"/>
      <c r="G478" s="30" t="str">
        <f>IF(B478=0,"",IF('Cumulative Volumes Imperial'!$AQ$17=FALSE,I478,H478))</f>
        <v/>
      </c>
      <c r="H478" s="30"/>
      <c r="I478" s="30"/>
      <c r="J478" s="30" t="str">
        <f>IF(B478="","",IF('Cumulative Volumes Imperial'!$AQ$17=FALSE,L478,K478))</f>
        <v/>
      </c>
      <c r="K478" s="30"/>
      <c r="L478" s="30"/>
      <c r="M478" s="30" t="str">
        <f>IF($E$8+45+$E$9&gt;989,"FALSE",IF(B478="","",IF('Cumulative Volumes Imperial'!$AQ$17=FALSE,O478,N478)))</f>
        <v/>
      </c>
      <c r="N478" s="30"/>
      <c r="O478" s="30"/>
      <c r="P478" s="30" t="str">
        <f>IF(B478=0,"",(((1/12)*'Imperial Data'!$AC$4*'Imperial Data'!$AC$5)-C478)*$H$6)</f>
        <v/>
      </c>
      <c r="Q478" s="30"/>
      <c r="R478" s="30" t="str">
        <f>IF(B478=0,"",(((1/12)*'Imperial Data'!$AC$5*'Imperial Data'!$AC$7)-D478)*$H$6)</f>
        <v/>
      </c>
      <c r="S478" s="30"/>
      <c r="T478" s="30"/>
      <c r="U478" s="30"/>
      <c r="V478" s="30"/>
      <c r="W478" s="30" t="str">
        <f t="shared" si="70"/>
        <v/>
      </c>
      <c r="X478" s="31"/>
      <c r="Y478" s="30" t="str">
        <f t="shared" si="71"/>
        <v/>
      </c>
    </row>
    <row r="479" spans="2:25" x14ac:dyDescent="0.2">
      <c r="B479" s="34"/>
      <c r="C479" s="30" t="str">
        <f>IF(B479=0,"",IF('Imperial Data'!AG468&gt;=1, INDEX(Imperial_Incremental[], MATCH('Imperial Data'!AG468, Imperial_Incremental[Height], 1), MATCH('Cumulative Volumes Imperial'!$F$4, Imperial_Incremental[#Headers], 0)), 0))</f>
        <v/>
      </c>
      <c r="D479" s="30" t="str">
        <f>IF(B479=0,"",IF('Imperial Data'!AG468&gt;=1, INDEX(Imperial_Incremental[], MATCH('Imperial Data'!AG468, Imperial_Incremental[Height], 1), MATCH('Cumulative Volumes Imperial'!$F$4 &amp; "EC", Imperial_Incremental[#Headers], 0)), 0))</f>
        <v/>
      </c>
      <c r="E479" s="30"/>
      <c r="F479" s="30"/>
      <c r="G479" s="30" t="str">
        <f>IF(B479=0,"",IF('Cumulative Volumes Imperial'!$AQ$17=FALSE,I479,H479))</f>
        <v/>
      </c>
      <c r="H479" s="30"/>
      <c r="I479" s="30"/>
      <c r="J479" s="30" t="str">
        <f>IF(B479="","",IF('Cumulative Volumes Imperial'!$AQ$17=FALSE,L479,K479))</f>
        <v/>
      </c>
      <c r="K479" s="30"/>
      <c r="L479" s="30"/>
      <c r="M479" s="30" t="str">
        <f>IF($E$8+45+$E$9&gt;989,"FALSE",IF(B479="","",IF('Cumulative Volumes Imperial'!$AQ$17=FALSE,O479,N479)))</f>
        <v/>
      </c>
      <c r="N479" s="30"/>
      <c r="O479" s="30"/>
      <c r="P479" s="30" t="str">
        <f>IF(B479=0,"",(((1/12)*'Imperial Data'!$AC$4*'Imperial Data'!$AC$5)-C479)*$H$6)</f>
        <v/>
      </c>
      <c r="Q479" s="30"/>
      <c r="R479" s="30" t="str">
        <f>IF(B479=0,"",(((1/12)*'Imperial Data'!$AC$5*'Imperial Data'!$AC$7)-D479)*$H$6)</f>
        <v/>
      </c>
      <c r="S479" s="30"/>
      <c r="T479" s="30"/>
      <c r="U479" s="30"/>
      <c r="V479" s="30"/>
      <c r="W479" s="30" t="str">
        <f t="shared" si="70"/>
        <v/>
      </c>
      <c r="X479" s="31"/>
      <c r="Y479" s="30" t="str">
        <f t="shared" si="71"/>
        <v/>
      </c>
    </row>
    <row r="480" spans="2:25" x14ac:dyDescent="0.2">
      <c r="B480" s="34"/>
      <c r="C480" s="30" t="str">
        <f>IF(B480=0,"",IF('Imperial Data'!AG469&gt;=1, INDEX(Imperial_Incremental[], MATCH('Imperial Data'!AG469, Imperial_Incremental[Height], 1), MATCH('Cumulative Volumes Imperial'!$F$4, Imperial_Incremental[#Headers], 0)), 0))</f>
        <v/>
      </c>
      <c r="D480" s="30" t="str">
        <f>IF(B480=0,"",IF('Imperial Data'!AG469&gt;=1, INDEX(Imperial_Incremental[], MATCH('Imperial Data'!AG469, Imperial_Incremental[Height], 1), MATCH('Cumulative Volumes Imperial'!$F$4 &amp; "EC", Imperial_Incremental[#Headers], 0)), 0))</f>
        <v/>
      </c>
      <c r="E480" s="30"/>
      <c r="F480" s="30"/>
      <c r="G480" s="30" t="str">
        <f>IF(B480=0,"",IF('Cumulative Volumes Imperial'!$AQ$17=FALSE,I480,H480))</f>
        <v/>
      </c>
      <c r="H480" s="30"/>
      <c r="I480" s="30"/>
      <c r="J480" s="30" t="str">
        <f>IF(B480="","",IF('Cumulative Volumes Imperial'!$AQ$17=FALSE,L480,K480))</f>
        <v/>
      </c>
      <c r="K480" s="30"/>
      <c r="L480" s="30"/>
      <c r="M480" s="30" t="str">
        <f>IF($E$8+45+$E$9&gt;989,"FALSE",IF(B480="","",IF('Cumulative Volumes Imperial'!$AQ$17=FALSE,O480,N480)))</f>
        <v/>
      </c>
      <c r="N480" s="30"/>
      <c r="O480" s="30"/>
      <c r="P480" s="30" t="str">
        <f>IF(B480=0,"",(((1/12)*'Imperial Data'!$AC$4*'Imperial Data'!$AC$5)-C480)*$H$6)</f>
        <v/>
      </c>
      <c r="Q480" s="30"/>
      <c r="R480" s="30" t="str">
        <f>IF(B480=0,"",(((1/12)*'Imperial Data'!$AC$5*'Imperial Data'!$AC$7)-D480)*$H$6)</f>
        <v/>
      </c>
      <c r="S480" s="30"/>
      <c r="T480" s="30"/>
      <c r="U480" s="30"/>
      <c r="V480" s="30"/>
      <c r="W480" s="30" t="str">
        <f t="shared" si="70"/>
        <v/>
      </c>
      <c r="X480" s="31"/>
      <c r="Y480" s="30" t="str">
        <f t="shared" si="71"/>
        <v/>
      </c>
    </row>
    <row r="481" spans="2:25" x14ac:dyDescent="0.2">
      <c r="B481" s="34"/>
      <c r="C481" s="30" t="str">
        <f>IF(B481=0,"",IF('Imperial Data'!AG470&gt;=1, INDEX(Imperial_Incremental[], MATCH('Imperial Data'!AG470, Imperial_Incremental[Height], 1), MATCH('Cumulative Volumes Imperial'!$F$4, Imperial_Incremental[#Headers], 0)), 0))</f>
        <v/>
      </c>
      <c r="D481" s="30" t="str">
        <f>IF(B481=0,"",IF('Imperial Data'!AG470&gt;=1, INDEX(Imperial_Incremental[], MATCH('Imperial Data'!AG470, Imperial_Incremental[Height], 1), MATCH('Cumulative Volumes Imperial'!$F$4 &amp; "EC", Imperial_Incremental[#Headers], 0)), 0))</f>
        <v/>
      </c>
      <c r="E481" s="30"/>
      <c r="F481" s="30"/>
      <c r="G481" s="30" t="str">
        <f>IF(B481=0,"",IF('Cumulative Volumes Imperial'!$AQ$17=FALSE,I481,H481))</f>
        <v/>
      </c>
      <c r="H481" s="30"/>
      <c r="I481" s="30"/>
      <c r="J481" s="30" t="str">
        <f>IF(B481="","",IF('Cumulative Volumes Imperial'!$AQ$17=FALSE,L481,K481))</f>
        <v/>
      </c>
      <c r="K481" s="30"/>
      <c r="L481" s="30"/>
      <c r="M481" s="30" t="str">
        <f>IF($E$8+45+$E$9&gt;989,"FALSE",IF(B481="","",IF('Cumulative Volumes Imperial'!$AQ$17=FALSE,O481,N481)))</f>
        <v/>
      </c>
      <c r="N481" s="30"/>
      <c r="O481" s="30"/>
      <c r="P481" s="30" t="str">
        <f>IF(B481=0,"",(((1/12)*'Imperial Data'!$AC$4*'Imperial Data'!$AC$5)-C481)*$H$6)</f>
        <v/>
      </c>
      <c r="Q481" s="30"/>
      <c r="R481" s="30" t="str">
        <f>IF(B481=0,"",(((1/12)*'Imperial Data'!$AC$5*'Imperial Data'!$AC$7)-D481)*$H$6)</f>
        <v/>
      </c>
      <c r="S481" s="30"/>
      <c r="T481" s="30"/>
      <c r="U481" s="30"/>
      <c r="V481" s="30"/>
      <c r="W481" s="30" t="str">
        <f t="shared" si="70"/>
        <v/>
      </c>
      <c r="X481" s="31"/>
      <c r="Y481" s="30" t="str">
        <f t="shared" si="71"/>
        <v/>
      </c>
    </row>
    <row r="482" spans="2:25" x14ac:dyDescent="0.2">
      <c r="B482" s="34"/>
      <c r="C482" s="30" t="str">
        <f>IF(B482=0,"",IF('Imperial Data'!AG471&gt;=1, INDEX(Imperial_Incremental[], MATCH('Imperial Data'!AG471, Imperial_Incremental[Height], 1), MATCH('Cumulative Volumes Imperial'!$F$4, Imperial_Incremental[#Headers], 0)), 0))</f>
        <v/>
      </c>
      <c r="D482" s="30" t="str">
        <f>IF(B482=0,"",IF('Imperial Data'!AG471&gt;=1, INDEX(Imperial_Incremental[], MATCH('Imperial Data'!AG471, Imperial_Incremental[Height], 1), MATCH('Cumulative Volumes Imperial'!$F$4 &amp; "EC", Imperial_Incremental[#Headers], 0)), 0))</f>
        <v/>
      </c>
      <c r="E482" s="30"/>
      <c r="F482" s="30"/>
      <c r="G482" s="30" t="str">
        <f>IF(B482=0,"",IF('Cumulative Volumes Imperial'!$AQ$17=FALSE,I482,H482))</f>
        <v/>
      </c>
      <c r="H482" s="30"/>
      <c r="I482" s="30"/>
      <c r="J482" s="30" t="str">
        <f>IF(B482="","",IF('Cumulative Volumes Imperial'!$AQ$17=FALSE,L482,K482))</f>
        <v/>
      </c>
      <c r="K482" s="30"/>
      <c r="L482" s="30"/>
      <c r="M482" s="30" t="str">
        <f>IF($E$8+45+$E$9&gt;989,"FALSE",IF(B482="","",IF('Cumulative Volumes Imperial'!$AQ$17=FALSE,O482,N482)))</f>
        <v/>
      </c>
      <c r="N482" s="30"/>
      <c r="O482" s="30"/>
      <c r="P482" s="30" t="str">
        <f>IF(B482=0,"",(((1/12)*'Imperial Data'!$AC$4*'Imperial Data'!$AC$5)-C482)*$H$6)</f>
        <v/>
      </c>
      <c r="Q482" s="30"/>
      <c r="R482" s="30" t="str">
        <f>IF(B482=0,"",(((1/12)*'Imperial Data'!$AC$5*'Imperial Data'!$AC$7)-D482)*$H$6)</f>
        <v/>
      </c>
      <c r="S482" s="30"/>
      <c r="T482" s="30"/>
      <c r="U482" s="30"/>
      <c r="V482" s="30"/>
      <c r="W482" s="30" t="str">
        <f t="shared" si="70"/>
        <v/>
      </c>
      <c r="X482" s="31"/>
      <c r="Y482" s="30" t="str">
        <f t="shared" si="71"/>
        <v/>
      </c>
    </row>
    <row r="483" spans="2:25" x14ac:dyDescent="0.2">
      <c r="B483" s="34"/>
      <c r="C483" s="30" t="str">
        <f>IF(B483=0,"",IF('Imperial Data'!AG472&gt;=1, INDEX(Imperial_Incremental[], MATCH('Imperial Data'!AG472, Imperial_Incremental[Height], 1), MATCH('Cumulative Volumes Imperial'!$F$4, Imperial_Incremental[#Headers], 0)), 0))</f>
        <v/>
      </c>
      <c r="D483" s="30" t="str">
        <f>IF(B483=0,"",IF('Imperial Data'!AG472&gt;=1, INDEX(Imperial_Incremental[], MATCH('Imperial Data'!AG472, Imperial_Incremental[Height], 1), MATCH('Cumulative Volumes Imperial'!$F$4 &amp; "EC", Imperial_Incremental[#Headers], 0)), 0))</f>
        <v/>
      </c>
      <c r="E483" s="30"/>
      <c r="F483" s="30"/>
      <c r="G483" s="30" t="str">
        <f>IF(B483=0,"",IF('Cumulative Volumes Imperial'!$AQ$17=FALSE,I483,H483))</f>
        <v/>
      </c>
      <c r="H483" s="30"/>
      <c r="I483" s="30"/>
      <c r="J483" s="30" t="str">
        <f>IF(B483="","",IF('Cumulative Volumes Imperial'!$AQ$17=FALSE,L483,K483))</f>
        <v/>
      </c>
      <c r="K483" s="30"/>
      <c r="L483" s="30"/>
      <c r="M483" s="30" t="str">
        <f>IF($E$8+45+$E$9&gt;989,"FALSE",IF(B483="","",IF('Cumulative Volumes Imperial'!$AQ$17=FALSE,O483,N483)))</f>
        <v/>
      </c>
      <c r="N483" s="30"/>
      <c r="O483" s="30"/>
      <c r="P483" s="30" t="str">
        <f>IF(B483=0,"",(((1/12)*'Imperial Data'!$AC$4*'Imperial Data'!$AC$5)-C483)*$H$6)</f>
        <v/>
      </c>
      <c r="Q483" s="30"/>
      <c r="R483" s="30" t="str">
        <f>IF(B483=0,"",(((1/12)*'Imperial Data'!$AC$5*'Imperial Data'!$AC$7)-D483)*$H$6)</f>
        <v/>
      </c>
      <c r="S483" s="30"/>
      <c r="T483" s="30"/>
      <c r="U483" s="30"/>
      <c r="V483" s="30"/>
      <c r="W483" s="30" t="str">
        <f t="shared" si="70"/>
        <v/>
      </c>
      <c r="X483" s="31"/>
      <c r="Y483" s="30" t="str">
        <f t="shared" si="71"/>
        <v/>
      </c>
    </row>
    <row r="484" spans="2:25" x14ac:dyDescent="0.2">
      <c r="B484" s="34"/>
      <c r="C484" s="30" t="str">
        <f>IF(B484=0,"",IF('Imperial Data'!AG473&gt;=1, INDEX(Imperial_Incremental[], MATCH('Imperial Data'!AG473, Imperial_Incremental[Height], 1), MATCH('Cumulative Volumes Imperial'!$F$4, Imperial_Incremental[#Headers], 0)), 0))</f>
        <v/>
      </c>
      <c r="D484" s="30" t="str">
        <f>IF(B484=0,"",IF('Imperial Data'!AG473&gt;=1, INDEX(Imperial_Incremental[], MATCH('Imperial Data'!AG473, Imperial_Incremental[Height], 1), MATCH('Cumulative Volumes Imperial'!$F$4 &amp; "EC", Imperial_Incremental[#Headers], 0)), 0))</f>
        <v/>
      </c>
      <c r="E484" s="30"/>
      <c r="F484" s="30"/>
      <c r="G484" s="30" t="str">
        <f>IF(B484=0,"",IF('Cumulative Volumes Imperial'!$AQ$17=FALSE,I484,H484))</f>
        <v/>
      </c>
      <c r="H484" s="30"/>
      <c r="I484" s="30"/>
      <c r="J484" s="30" t="str">
        <f>IF(B484="","",IF('Cumulative Volumes Imperial'!$AQ$17=FALSE,L484,K484))</f>
        <v/>
      </c>
      <c r="K484" s="30"/>
      <c r="L484" s="30"/>
      <c r="M484" s="30" t="str">
        <f>IF($E$8+45+$E$9&gt;989,"FALSE",IF(B484="","",IF('Cumulative Volumes Imperial'!$AQ$17=FALSE,O484,N484)))</f>
        <v/>
      </c>
      <c r="N484" s="30"/>
      <c r="O484" s="30"/>
      <c r="P484" s="30" t="str">
        <f>IF(B484=0,"",(((1/12)*'Imperial Data'!$AC$4*'Imperial Data'!$AC$5)-C484)*$H$6)</f>
        <v/>
      </c>
      <c r="Q484" s="30"/>
      <c r="R484" s="30" t="str">
        <f>IF(B484=0,"",(((1/12)*'Imperial Data'!$AC$5*'Imperial Data'!$AC$7)-D484)*$H$6)</f>
        <v/>
      </c>
      <c r="S484" s="30"/>
      <c r="T484" s="30"/>
      <c r="U484" s="30"/>
      <c r="V484" s="30"/>
      <c r="W484" s="30" t="str">
        <f t="shared" si="70"/>
        <v/>
      </c>
      <c r="X484" s="31"/>
      <c r="Y484" s="30" t="str">
        <f t="shared" si="71"/>
        <v/>
      </c>
    </row>
    <row r="485" spans="2:25" x14ac:dyDescent="0.2">
      <c r="B485" s="34"/>
      <c r="C485" s="30" t="str">
        <f>IF(B485=0,"",IF('Imperial Data'!AG474&gt;=1, INDEX(Imperial_Incremental[], MATCH('Imperial Data'!AG474, Imperial_Incremental[Height], 1), MATCH('Cumulative Volumes Imperial'!$F$4, Imperial_Incremental[#Headers], 0)), 0))</f>
        <v/>
      </c>
      <c r="D485" s="30" t="str">
        <f>IF(B485=0,"",IF('Imperial Data'!AG474&gt;=1, INDEX(Imperial_Incremental[], MATCH('Imperial Data'!AG474, Imperial_Incremental[Height], 1), MATCH('Cumulative Volumes Imperial'!$F$4 &amp; "EC", Imperial_Incremental[#Headers], 0)), 0))</f>
        <v/>
      </c>
      <c r="E485" s="30"/>
      <c r="F485" s="30"/>
      <c r="G485" s="30" t="str">
        <f>IF(B485=0,"",IF('Cumulative Volumes Imperial'!$AQ$17=FALSE,I485,H485))</f>
        <v/>
      </c>
      <c r="H485" s="30"/>
      <c r="I485" s="30"/>
      <c r="J485" s="30" t="str">
        <f>IF(B485="","",IF('Cumulative Volumes Imperial'!$AQ$17=FALSE,L485,K485))</f>
        <v/>
      </c>
      <c r="K485" s="30"/>
      <c r="L485" s="30"/>
      <c r="M485" s="30" t="str">
        <f>IF($E$8+45+$E$9&gt;989,"FALSE",IF(B485="","",IF('Cumulative Volumes Imperial'!$AQ$17=FALSE,O485,N485)))</f>
        <v/>
      </c>
      <c r="N485" s="30"/>
      <c r="O485" s="30"/>
      <c r="P485" s="30" t="str">
        <f>IF(B485=0,"",(((1/12)*'Imperial Data'!$AC$4*'Imperial Data'!$AC$5)-C485)*$H$6)</f>
        <v/>
      </c>
      <c r="Q485" s="30"/>
      <c r="R485" s="30" t="str">
        <f>IF(B485=0,"",(((1/12)*'Imperial Data'!$AC$5*'Imperial Data'!$AC$7)-D485)*$H$6)</f>
        <v/>
      </c>
      <c r="S485" s="30"/>
      <c r="T485" s="30"/>
      <c r="U485" s="30"/>
      <c r="V485" s="30"/>
      <c r="W485" s="30" t="str">
        <f t="shared" si="70"/>
        <v/>
      </c>
      <c r="X485" s="31"/>
      <c r="Y485" s="30" t="str">
        <f t="shared" si="71"/>
        <v/>
      </c>
    </row>
    <row r="486" spans="2:25" x14ac:dyDescent="0.2">
      <c r="B486" s="34"/>
      <c r="C486" s="30" t="str">
        <f>IF(B486=0,"",IF('Imperial Data'!AG475&gt;=1, INDEX(Imperial_Incremental[], MATCH('Imperial Data'!AG475, Imperial_Incremental[Height], 1), MATCH('Cumulative Volumes Imperial'!$F$4, Imperial_Incremental[#Headers], 0)), 0))</f>
        <v/>
      </c>
      <c r="D486" s="30" t="str">
        <f>IF(B486=0,"",IF('Imperial Data'!AG475&gt;=1, INDEX(Imperial_Incremental[], MATCH('Imperial Data'!AG475, Imperial_Incremental[Height], 1), MATCH('Cumulative Volumes Imperial'!$F$4 &amp; "EC", Imperial_Incremental[#Headers], 0)), 0))</f>
        <v/>
      </c>
      <c r="E486" s="30"/>
      <c r="F486" s="30"/>
      <c r="G486" s="30" t="str">
        <f>IF(B486=0,"",IF('Cumulative Volumes Imperial'!$AQ$17=FALSE,I486,H486))</f>
        <v/>
      </c>
      <c r="H486" s="30"/>
      <c r="I486" s="30"/>
      <c r="J486" s="30" t="str">
        <f>IF(B486="","",IF('Cumulative Volumes Imperial'!$AQ$17=FALSE,L486,K486))</f>
        <v/>
      </c>
      <c r="K486" s="30"/>
      <c r="L486" s="30"/>
      <c r="M486" s="30" t="str">
        <f>IF($E$8+45+$E$9&gt;989,"FALSE",IF(B486="","",IF('Cumulative Volumes Imperial'!$AQ$17=FALSE,O486,N486)))</f>
        <v/>
      </c>
      <c r="N486" s="30"/>
      <c r="O486" s="30"/>
      <c r="P486" s="30" t="str">
        <f>IF(B486=0,"",(((1/12)*'Imperial Data'!$AC$4*'Imperial Data'!$AC$5)-C486)*$H$6)</f>
        <v/>
      </c>
      <c r="Q486" s="30"/>
      <c r="R486" s="30" t="str">
        <f>IF(B486=0,"",(((1/12)*'Imperial Data'!$AC$5*'Imperial Data'!$AC$7)-D486)*$H$6)</f>
        <v/>
      </c>
      <c r="S486" s="30"/>
      <c r="T486" s="30"/>
      <c r="U486" s="30"/>
      <c r="V486" s="30"/>
      <c r="W486" s="30" t="str">
        <f t="shared" si="70"/>
        <v/>
      </c>
      <c r="X486" s="31"/>
      <c r="Y486" s="30" t="str">
        <f t="shared" si="71"/>
        <v/>
      </c>
    </row>
    <row r="487" spans="2:25" x14ac:dyDescent="0.2">
      <c r="B487" s="34"/>
      <c r="C487" s="30" t="str">
        <f>IF(B487=0,"",IF('Imperial Data'!AG476&gt;=1, INDEX(Imperial_Incremental[], MATCH('Imperial Data'!AG476, Imperial_Incremental[Height], 1), MATCH('Cumulative Volumes Imperial'!$F$4, Imperial_Incremental[#Headers], 0)), 0))</f>
        <v/>
      </c>
      <c r="D487" s="30" t="str">
        <f>IF(B487=0,"",IF('Imperial Data'!AG476&gt;=1, INDEX(Imperial_Incremental[], MATCH('Imperial Data'!AG476, Imperial_Incremental[Height], 1), MATCH('Cumulative Volumes Imperial'!$F$4 &amp; "EC", Imperial_Incremental[#Headers], 0)), 0))</f>
        <v/>
      </c>
      <c r="E487" s="30"/>
      <c r="F487" s="30"/>
      <c r="G487" s="30" t="str">
        <f>IF(B487=0,"",IF('Cumulative Volumes Imperial'!$AQ$17=FALSE,I487,H487))</f>
        <v/>
      </c>
      <c r="H487" s="30"/>
      <c r="I487" s="30"/>
      <c r="J487" s="30" t="str">
        <f>IF(B487="","",IF('Cumulative Volumes Imperial'!$AQ$17=FALSE,L487,K487))</f>
        <v/>
      </c>
      <c r="K487" s="30"/>
      <c r="L487" s="30"/>
      <c r="M487" s="30" t="str">
        <f>IF($E$8+45+$E$9&gt;989,"FALSE",IF(B487="","",IF('Cumulative Volumes Imperial'!$AQ$17=FALSE,O487,N487)))</f>
        <v/>
      </c>
      <c r="N487" s="30"/>
      <c r="O487" s="30"/>
      <c r="P487" s="30" t="str">
        <f>IF(B487=0,"",(((1/12)*'Imperial Data'!$AC$4*'Imperial Data'!$AC$5)-C487)*$H$6)</f>
        <v/>
      </c>
      <c r="Q487" s="30"/>
      <c r="R487" s="30" t="str">
        <f>IF(B487=0,"",(((1/12)*'Imperial Data'!$AC$5*'Imperial Data'!$AC$7)-D487)*$H$6)</f>
        <v/>
      </c>
      <c r="S487" s="30"/>
      <c r="T487" s="30"/>
      <c r="U487" s="30"/>
      <c r="V487" s="30"/>
      <c r="W487" s="30" t="str">
        <f t="shared" si="70"/>
        <v/>
      </c>
      <c r="X487" s="31"/>
      <c r="Y487" s="30" t="str">
        <f t="shared" si="71"/>
        <v/>
      </c>
    </row>
    <row r="488" spans="2:25" x14ac:dyDescent="0.2">
      <c r="B488" s="34"/>
      <c r="C488" s="30" t="str">
        <f>IF(B488=0,"",IF('Imperial Data'!AG477&gt;=1, INDEX(Imperial_Incremental[], MATCH('Imperial Data'!AG477, Imperial_Incremental[Height], 1), MATCH('Cumulative Volumes Imperial'!$F$4, Imperial_Incremental[#Headers], 0)), 0))</f>
        <v/>
      </c>
      <c r="D488" s="30" t="str">
        <f>IF(B488=0,"",IF('Imperial Data'!AG477&gt;=1, INDEX(Imperial_Incremental[], MATCH('Imperial Data'!AG477, Imperial_Incremental[Height], 1), MATCH('Cumulative Volumes Imperial'!$F$4 &amp; "EC", Imperial_Incremental[#Headers], 0)), 0))</f>
        <v/>
      </c>
      <c r="E488" s="30"/>
      <c r="F488" s="30"/>
      <c r="G488" s="30" t="str">
        <f>IF(B488=0,"",IF('Cumulative Volumes Imperial'!$AQ$17=FALSE,I488,H488))</f>
        <v/>
      </c>
      <c r="H488" s="30"/>
      <c r="I488" s="30"/>
      <c r="J488" s="30" t="str">
        <f>IF(B488="","",IF('Cumulative Volumes Imperial'!$AQ$17=FALSE,L488,K488))</f>
        <v/>
      </c>
      <c r="K488" s="30"/>
      <c r="L488" s="30"/>
      <c r="M488" s="30" t="str">
        <f>IF($E$8+45+$E$9&gt;989,"FALSE",IF(B488="","",IF('Cumulative Volumes Imperial'!$AQ$17=FALSE,O488,N488)))</f>
        <v/>
      </c>
      <c r="N488" s="30"/>
      <c r="O488" s="30"/>
      <c r="P488" s="30" t="str">
        <f>IF(B488=0,"",(((1/12)*'Imperial Data'!$AC$4*'Imperial Data'!$AC$5)-C488)*$H$6)</f>
        <v/>
      </c>
      <c r="Q488" s="30"/>
      <c r="R488" s="30" t="str">
        <f>IF(B488=0,"",(((1/12)*'Imperial Data'!$AC$5*'Imperial Data'!$AC$7)-D488)*$H$6)</f>
        <v/>
      </c>
      <c r="S488" s="30"/>
      <c r="T488" s="30"/>
      <c r="U488" s="30"/>
      <c r="V488" s="30"/>
      <c r="W488" s="30" t="str">
        <f t="shared" si="70"/>
        <v/>
      </c>
      <c r="X488" s="31"/>
      <c r="Y488" s="30" t="str">
        <f t="shared" si="71"/>
        <v/>
      </c>
    </row>
    <row r="489" spans="2:25" x14ac:dyDescent="0.2">
      <c r="B489" s="34"/>
      <c r="C489" s="30" t="str">
        <f>IF(B489=0,"",IF('Imperial Data'!AG478&gt;=1, INDEX(Imperial_Incremental[], MATCH('Imperial Data'!AG478, Imperial_Incremental[Height], 1), MATCH('Cumulative Volumes Imperial'!$F$4, Imperial_Incremental[#Headers], 0)), 0))</f>
        <v/>
      </c>
      <c r="D489" s="30" t="str">
        <f>IF(B489=0,"",IF('Imperial Data'!AG478&gt;=1, INDEX(Imperial_Incremental[], MATCH('Imperial Data'!AG478, Imperial_Incremental[Height], 1), MATCH('Cumulative Volumes Imperial'!$F$4 &amp; "EC", Imperial_Incremental[#Headers], 0)), 0))</f>
        <v/>
      </c>
      <c r="E489" s="30"/>
      <c r="F489" s="30"/>
      <c r="G489" s="30" t="str">
        <f>IF(B489=0,"",IF('Cumulative Volumes Imperial'!$AQ$17=FALSE,I489,H489))</f>
        <v/>
      </c>
      <c r="H489" s="30"/>
      <c r="I489" s="30"/>
      <c r="J489" s="30" t="str">
        <f>IF(B489="","",IF('Cumulative Volumes Imperial'!$AQ$17=FALSE,L489,K489))</f>
        <v/>
      </c>
      <c r="K489" s="30"/>
      <c r="L489" s="30"/>
      <c r="M489" s="30" t="str">
        <f>IF($E$8+45+$E$9&gt;989,"FALSE",IF(B489="","",IF('Cumulative Volumes Imperial'!$AQ$17=FALSE,O489,N489)))</f>
        <v/>
      </c>
      <c r="N489" s="30"/>
      <c r="O489" s="30"/>
      <c r="P489" s="30" t="str">
        <f>IF(B489=0,"",(((1/12)*'Imperial Data'!$AC$4*'Imperial Data'!$AC$5)-C489)*$H$6)</f>
        <v/>
      </c>
      <c r="Q489" s="30"/>
      <c r="R489" s="30" t="str">
        <f>IF(B489=0,"",(((1/12)*'Imperial Data'!$AC$5*'Imperial Data'!$AC$7)-D489)*$H$6)</f>
        <v/>
      </c>
      <c r="S489" s="30"/>
      <c r="T489" s="30"/>
      <c r="U489" s="30"/>
      <c r="V489" s="30"/>
      <c r="W489" s="30" t="str">
        <f t="shared" si="70"/>
        <v/>
      </c>
      <c r="X489" s="31"/>
      <c r="Y489" s="30" t="str">
        <f t="shared" si="71"/>
        <v/>
      </c>
    </row>
    <row r="490" spans="2:25" x14ac:dyDescent="0.2">
      <c r="B490" s="34"/>
      <c r="C490" s="30" t="str">
        <f>IF(B490=0,"",IF('Imperial Data'!AG479&gt;=1, INDEX(Imperial_Incremental[], MATCH('Imperial Data'!AG479, Imperial_Incremental[Height], 1), MATCH('Cumulative Volumes Imperial'!$F$4, Imperial_Incremental[#Headers], 0)), 0))</f>
        <v/>
      </c>
      <c r="D490" s="30" t="str">
        <f>IF(B490=0,"",IF('Imperial Data'!AG479&gt;=1, INDEX(Imperial_Incremental[], MATCH('Imperial Data'!AG479, Imperial_Incremental[Height], 1), MATCH('Cumulative Volumes Imperial'!$F$4 &amp; "EC", Imperial_Incremental[#Headers], 0)), 0))</f>
        <v/>
      </c>
      <c r="E490" s="30"/>
      <c r="F490" s="30"/>
      <c r="G490" s="30" t="str">
        <f>IF(B490=0,"",IF('Cumulative Volumes Imperial'!$AQ$17=FALSE,I490,H490))</f>
        <v/>
      </c>
      <c r="H490" s="30"/>
      <c r="I490" s="30"/>
      <c r="J490" s="30" t="str">
        <f>IF(B490="","",IF('Cumulative Volumes Imperial'!$AQ$17=FALSE,L490,K490))</f>
        <v/>
      </c>
      <c r="K490" s="30"/>
      <c r="L490" s="30"/>
      <c r="M490" s="30" t="str">
        <f>IF($E$8+45+$E$9&gt;989,"FALSE",IF(B490="","",IF('Cumulative Volumes Imperial'!$AQ$17=FALSE,O490,N490)))</f>
        <v/>
      </c>
      <c r="N490" s="30"/>
      <c r="O490" s="30"/>
      <c r="P490" s="30" t="str">
        <f>IF(B490=0,"",(((1/12)*'Imperial Data'!$AC$4*'Imperial Data'!$AC$5)-C490)*$H$6)</f>
        <v/>
      </c>
      <c r="Q490" s="30"/>
      <c r="R490" s="30" t="str">
        <f>IF(B490=0,"",(((1/12)*'Imperial Data'!$AC$5*'Imperial Data'!$AC$7)-D490)*$H$6)</f>
        <v/>
      </c>
      <c r="S490" s="30"/>
      <c r="T490" s="30"/>
      <c r="U490" s="30"/>
      <c r="V490" s="30"/>
      <c r="W490" s="30" t="str">
        <f t="shared" si="70"/>
        <v/>
      </c>
      <c r="X490" s="31"/>
      <c r="Y490" s="30" t="str">
        <f t="shared" si="71"/>
        <v/>
      </c>
    </row>
    <row r="491" spans="2:25" x14ac:dyDescent="0.2">
      <c r="B491" s="34"/>
      <c r="C491" s="30" t="str">
        <f>IF(B491=0,"",IF('Imperial Data'!AG480&gt;=1, INDEX(Imperial_Incremental[], MATCH('Imperial Data'!AG480, Imperial_Incremental[Height], 1), MATCH('Cumulative Volumes Imperial'!$F$4, Imperial_Incremental[#Headers], 0)), 0))</f>
        <v/>
      </c>
      <c r="D491" s="30" t="str">
        <f>IF(B491=0,"",IF('Imperial Data'!AG480&gt;=1, INDEX(Imperial_Incremental[], MATCH('Imperial Data'!AG480, Imperial_Incremental[Height], 1), MATCH('Cumulative Volumes Imperial'!$F$4 &amp; "EC", Imperial_Incremental[#Headers], 0)), 0))</f>
        <v/>
      </c>
      <c r="E491" s="30"/>
      <c r="F491" s="30"/>
      <c r="G491" s="30" t="str">
        <f>IF(B491=0,"",IF('Cumulative Volumes Imperial'!$AQ$17=FALSE,I491,H491))</f>
        <v/>
      </c>
      <c r="H491" s="30"/>
      <c r="I491" s="30"/>
      <c r="J491" s="30" t="str">
        <f>IF(B491="","",IF('Cumulative Volumes Imperial'!$AQ$17=FALSE,L491,K491))</f>
        <v/>
      </c>
      <c r="K491" s="30"/>
      <c r="L491" s="30"/>
      <c r="M491" s="30" t="str">
        <f>IF($E$8+45+$E$9&gt;989,"FALSE",IF(B491="","",IF('Cumulative Volumes Imperial'!$AQ$17=FALSE,O491,N491)))</f>
        <v/>
      </c>
      <c r="N491" s="30"/>
      <c r="O491" s="30"/>
      <c r="P491" s="30" t="str">
        <f>IF(B491=0,"",(((1/12)*'Imperial Data'!$AC$4*'Imperial Data'!$AC$5)-C491)*$H$6)</f>
        <v/>
      </c>
      <c r="Q491" s="30"/>
      <c r="R491" s="30" t="str">
        <f>IF(B491=0,"",(((1/12)*'Imperial Data'!$AC$5*'Imperial Data'!$AC$7)-D491)*$H$6)</f>
        <v/>
      </c>
      <c r="S491" s="30"/>
      <c r="T491" s="30"/>
      <c r="U491" s="30"/>
      <c r="V491" s="30"/>
      <c r="W491" s="30" t="str">
        <f t="shared" si="70"/>
        <v/>
      </c>
      <c r="X491" s="31"/>
      <c r="Y491" s="30" t="str">
        <f t="shared" si="71"/>
        <v/>
      </c>
    </row>
    <row r="492" spans="2:25" x14ac:dyDescent="0.2">
      <c r="B492" s="34"/>
      <c r="C492" s="30" t="str">
        <f>IF(B492=0,"",IF('Imperial Data'!AG481&gt;=1, INDEX(Imperial_Incremental[], MATCH('Imperial Data'!AG481, Imperial_Incremental[Height], 1), MATCH('Cumulative Volumes Imperial'!$F$4, Imperial_Incremental[#Headers], 0)), 0))</f>
        <v/>
      </c>
      <c r="D492" s="30" t="str">
        <f>IF(B492=0,"",IF('Imperial Data'!AG481&gt;=1, INDEX(Imperial_Incremental[], MATCH('Imperial Data'!AG481, Imperial_Incremental[Height], 1), MATCH('Cumulative Volumes Imperial'!$F$4 &amp; "EC", Imperial_Incremental[#Headers], 0)), 0))</f>
        <v/>
      </c>
      <c r="E492" s="30"/>
      <c r="F492" s="30"/>
      <c r="G492" s="30" t="str">
        <f>IF(B492=0,"",IF('Cumulative Volumes Imperial'!$AQ$17=FALSE,I492,H492))</f>
        <v/>
      </c>
      <c r="H492" s="30"/>
      <c r="I492" s="30"/>
      <c r="J492" s="30" t="str">
        <f>IF(B492="","",IF('Cumulative Volumes Imperial'!$AQ$17=FALSE,L492,K492))</f>
        <v/>
      </c>
      <c r="K492" s="30"/>
      <c r="L492" s="30"/>
      <c r="M492" s="30" t="str">
        <f>IF($E$8+45+$E$9&gt;989,"FALSE",IF(B492="","",IF('Cumulative Volumes Imperial'!$AQ$17=FALSE,O492,N492)))</f>
        <v/>
      </c>
      <c r="N492" s="30"/>
      <c r="O492" s="30"/>
      <c r="P492" s="30" t="str">
        <f>IF(B492=0,"",(((1/12)*'Imperial Data'!$AC$4*'Imperial Data'!$AC$5)-C492)*$H$6)</f>
        <v/>
      </c>
      <c r="Q492" s="30"/>
      <c r="R492" s="30" t="str">
        <f>IF(B492=0,"",(((1/12)*'Imperial Data'!$AC$5*'Imperial Data'!$AC$7)-D492)*$H$6)</f>
        <v/>
      </c>
      <c r="S492" s="30"/>
      <c r="T492" s="30"/>
      <c r="U492" s="30"/>
      <c r="V492" s="30"/>
      <c r="W492" s="30" t="str">
        <f t="shared" si="70"/>
        <v/>
      </c>
      <c r="X492" s="31"/>
      <c r="Y492" s="30" t="str">
        <f t="shared" si="71"/>
        <v/>
      </c>
    </row>
    <row r="493" spans="2:25" x14ac:dyDescent="0.2">
      <c r="B493" s="34"/>
      <c r="C493" s="30" t="str">
        <f>IF(B493=0,"",IF('Imperial Data'!AG482&gt;=1, INDEX(Imperial_Incremental[], MATCH('Imperial Data'!AG482, Imperial_Incremental[Height], 1), MATCH('Cumulative Volumes Imperial'!$F$4, Imperial_Incremental[#Headers], 0)), 0))</f>
        <v/>
      </c>
      <c r="D493" s="30" t="str">
        <f>IF(B493=0,"",IF('Imperial Data'!AG482&gt;=1, INDEX(Imperial_Incremental[], MATCH('Imperial Data'!AG482, Imperial_Incremental[Height], 1), MATCH('Cumulative Volumes Imperial'!$F$4 &amp; "EC", Imperial_Incremental[#Headers], 0)), 0))</f>
        <v/>
      </c>
      <c r="E493" s="30"/>
      <c r="F493" s="30"/>
      <c r="G493" s="30" t="str">
        <f>IF(B493=0,"",IF('Cumulative Volumes Imperial'!$AQ$17=FALSE,I493,H493))</f>
        <v/>
      </c>
      <c r="H493" s="30"/>
      <c r="I493" s="30"/>
      <c r="J493" s="30" t="str">
        <f>IF(B493="","",IF('Cumulative Volumes Imperial'!$AQ$17=FALSE,L493,K493))</f>
        <v/>
      </c>
      <c r="K493" s="30"/>
      <c r="L493" s="30"/>
      <c r="M493" s="30" t="str">
        <f>IF($E$8+45+$E$9&gt;989,"FALSE",IF(B493="","",IF('Cumulative Volumes Imperial'!$AQ$17=FALSE,O493,N493)))</f>
        <v/>
      </c>
      <c r="N493" s="30"/>
      <c r="O493" s="30"/>
      <c r="P493" s="30" t="str">
        <f>IF(B493=0,"",(((1/12)*'Imperial Data'!$AC$4*'Imperial Data'!$AC$5)-C493)*$H$6)</f>
        <v/>
      </c>
      <c r="Q493" s="30"/>
      <c r="R493" s="30" t="str">
        <f>IF(B493=0,"",(((1/12)*'Imperial Data'!$AC$5*'Imperial Data'!$AC$7)-D493)*$H$6)</f>
        <v/>
      </c>
      <c r="S493" s="30"/>
      <c r="T493" s="30"/>
      <c r="U493" s="30"/>
      <c r="V493" s="30"/>
      <c r="W493" s="30" t="str">
        <f t="shared" si="70"/>
        <v/>
      </c>
      <c r="X493" s="31"/>
      <c r="Y493" s="30" t="str">
        <f t="shared" si="71"/>
        <v/>
      </c>
    </row>
    <row r="494" spans="2:25" x14ac:dyDescent="0.2">
      <c r="B494" s="34"/>
      <c r="C494" s="30" t="str">
        <f>IF(B494=0,"",IF('Imperial Data'!AG483&gt;=1, INDEX(Imperial_Incremental[], MATCH('Imperial Data'!AG483, Imperial_Incremental[Height], 1), MATCH('Cumulative Volumes Imperial'!$F$4, Imperial_Incremental[#Headers], 0)), 0))</f>
        <v/>
      </c>
      <c r="D494" s="30" t="str">
        <f>IF(B494=0,"",IF('Imperial Data'!AG483&gt;=1, INDEX(Imperial_Incremental[], MATCH('Imperial Data'!AG483, Imperial_Incremental[Height], 1), MATCH('Cumulative Volumes Imperial'!$F$4 &amp; "EC", Imperial_Incremental[#Headers], 0)), 0))</f>
        <v/>
      </c>
      <c r="E494" s="30"/>
      <c r="F494" s="30"/>
      <c r="G494" s="30" t="str">
        <f>IF(B494=0,"",IF('Cumulative Volumes Imperial'!$AQ$17=FALSE,I494,H494))</f>
        <v/>
      </c>
      <c r="H494" s="30"/>
      <c r="I494" s="30"/>
      <c r="J494" s="30" t="str">
        <f>IF(B494="","",IF('Cumulative Volumes Imperial'!$AQ$17=FALSE,L494,K494))</f>
        <v/>
      </c>
      <c r="K494" s="30"/>
      <c r="L494" s="30"/>
      <c r="M494" s="30" t="str">
        <f>IF($E$8+45+$E$9&gt;989,"FALSE",IF(B494="","",IF('Cumulative Volumes Imperial'!$AQ$17=FALSE,O494,N494)))</f>
        <v/>
      </c>
      <c r="N494" s="30"/>
      <c r="O494" s="30"/>
      <c r="P494" s="30" t="str">
        <f>IF(B494=0,"",(((1/12)*'Imperial Data'!$AC$4*'Imperial Data'!$AC$5)-C494)*$H$6)</f>
        <v/>
      </c>
      <c r="Q494" s="30"/>
      <c r="R494" s="30" t="str">
        <f>IF(B494=0,"",(((1/12)*'Imperial Data'!$AC$5*'Imperial Data'!$AC$7)-D494)*$H$6)</f>
        <v/>
      </c>
      <c r="S494" s="30"/>
      <c r="T494" s="30"/>
      <c r="U494" s="30"/>
      <c r="V494" s="30"/>
      <c r="W494" s="30" t="str">
        <f t="shared" si="70"/>
        <v/>
      </c>
      <c r="X494" s="31"/>
      <c r="Y494" s="30" t="str">
        <f t="shared" si="71"/>
        <v/>
      </c>
    </row>
    <row r="495" spans="2:25" x14ac:dyDescent="0.2">
      <c r="B495" s="34"/>
      <c r="C495" s="30" t="str">
        <f>IF(B495=0,"",IF('Imperial Data'!AG484&gt;=1, INDEX(Imperial_Incremental[], MATCH('Imperial Data'!AG484, Imperial_Incremental[Height], 1), MATCH('Cumulative Volumes Imperial'!$F$4, Imperial_Incremental[#Headers], 0)), 0))</f>
        <v/>
      </c>
      <c r="D495" s="30" t="str">
        <f>IF(B495=0,"",IF('Imperial Data'!AG484&gt;=1, INDEX(Imperial_Incremental[], MATCH('Imperial Data'!AG484, Imperial_Incremental[Height], 1), MATCH('Cumulative Volumes Imperial'!$F$4 &amp; "EC", Imperial_Incremental[#Headers], 0)), 0))</f>
        <v/>
      </c>
      <c r="E495" s="30"/>
      <c r="F495" s="30"/>
      <c r="G495" s="30" t="str">
        <f>IF(B495=0,"",IF('Cumulative Volumes Imperial'!$AQ$17=FALSE,I495,H495))</f>
        <v/>
      </c>
      <c r="H495" s="30"/>
      <c r="I495" s="30"/>
      <c r="J495" s="30" t="str">
        <f>IF(B495="","",IF('Cumulative Volumes Imperial'!$AQ$17=FALSE,L495,K495))</f>
        <v/>
      </c>
      <c r="K495" s="30"/>
      <c r="L495" s="30"/>
      <c r="M495" s="30" t="str">
        <f>IF($E$8+45+$E$9&gt;989,"FALSE",IF(B495="","",IF('Cumulative Volumes Imperial'!$AQ$17=FALSE,O495,N495)))</f>
        <v/>
      </c>
      <c r="N495" s="30"/>
      <c r="O495" s="30"/>
      <c r="P495" s="30" t="str">
        <f>IF(B495=0,"",(((1/12)*'Imperial Data'!$AC$4*'Imperial Data'!$AC$5)-C495)*$H$6)</f>
        <v/>
      </c>
      <c r="Q495" s="30"/>
      <c r="R495" s="30" t="str">
        <f>IF(B495=0,"",(((1/12)*'Imperial Data'!$AC$5*'Imperial Data'!$AC$7)-D495)*$H$6)</f>
        <v/>
      </c>
      <c r="S495" s="30"/>
      <c r="T495" s="30"/>
      <c r="U495" s="30"/>
      <c r="V495" s="30"/>
      <c r="W495" s="30" t="str">
        <f t="shared" si="70"/>
        <v/>
      </c>
      <c r="X495" s="31"/>
      <c r="Y495" s="30" t="str">
        <f t="shared" si="71"/>
        <v/>
      </c>
    </row>
    <row r="496" spans="2:25" x14ac:dyDescent="0.2">
      <c r="B496" s="34"/>
      <c r="C496" s="30" t="str">
        <f>IF(B496=0,"",IF('Imperial Data'!AG485&gt;=1, INDEX(Imperial_Incremental[], MATCH('Imperial Data'!AG485, Imperial_Incremental[Height], 1), MATCH('Cumulative Volumes Imperial'!$F$4, Imperial_Incremental[#Headers], 0)), 0))</f>
        <v/>
      </c>
      <c r="D496" s="30" t="str">
        <f>IF(B496=0,"",IF('Imperial Data'!AG485&gt;=1, INDEX(Imperial_Incremental[], MATCH('Imperial Data'!AG485, Imperial_Incremental[Height], 1), MATCH('Cumulative Volumes Imperial'!$F$4 &amp; "EC", Imperial_Incremental[#Headers], 0)), 0))</f>
        <v/>
      </c>
      <c r="E496" s="30"/>
      <c r="F496" s="30"/>
      <c r="G496" s="30" t="str">
        <f>IF(B496=0,"",IF('Cumulative Volumes Imperial'!$AQ$17=FALSE,I496,H496))</f>
        <v/>
      </c>
      <c r="H496" s="30"/>
      <c r="I496" s="30"/>
      <c r="J496" s="30" t="str">
        <f>IF(B496="","",IF('Cumulative Volumes Imperial'!$AQ$17=FALSE,L496,K496))</f>
        <v/>
      </c>
      <c r="K496" s="30"/>
      <c r="L496" s="30"/>
      <c r="M496" s="30" t="str">
        <f>IF($E$8+45+$E$9&gt;989,"FALSE",IF(B496="","",IF('Cumulative Volumes Imperial'!$AQ$17=FALSE,O496,N496)))</f>
        <v/>
      </c>
      <c r="N496" s="30"/>
      <c r="O496" s="30"/>
      <c r="P496" s="30" t="str">
        <f>IF(B496=0,"",(((1/12)*'Imperial Data'!$AC$4*'Imperial Data'!$AC$5)-C496)*$H$6)</f>
        <v/>
      </c>
      <c r="Q496" s="30"/>
      <c r="R496" s="30" t="str">
        <f>IF(B496=0,"",(((1/12)*'Imperial Data'!$AC$5*'Imperial Data'!$AC$7)-D496)*$H$6)</f>
        <v/>
      </c>
      <c r="S496" s="30"/>
      <c r="T496" s="30"/>
      <c r="U496" s="30"/>
      <c r="V496" s="30"/>
      <c r="W496" s="30" t="str">
        <f t="shared" si="70"/>
        <v/>
      </c>
      <c r="X496" s="31"/>
      <c r="Y496" s="30" t="str">
        <f t="shared" si="71"/>
        <v/>
      </c>
    </row>
    <row r="497" spans="2:25" x14ac:dyDescent="0.2">
      <c r="B497" s="34"/>
      <c r="C497" s="30" t="str">
        <f>IF(B497=0,"",IF('Imperial Data'!AG486&gt;=1, INDEX(Imperial_Incremental[], MATCH('Imperial Data'!AG486, Imperial_Incremental[Height], 1), MATCH('Cumulative Volumes Imperial'!$F$4, Imperial_Incremental[#Headers], 0)), 0))</f>
        <v/>
      </c>
      <c r="D497" s="30" t="str">
        <f>IF(B497=0,"",IF('Imperial Data'!AG486&gt;=1, INDEX(Imperial_Incremental[], MATCH('Imperial Data'!AG486, Imperial_Incremental[Height], 1), MATCH('Cumulative Volumes Imperial'!$F$4 &amp; "EC", Imperial_Incremental[#Headers], 0)), 0))</f>
        <v/>
      </c>
      <c r="E497" s="30"/>
      <c r="F497" s="30"/>
      <c r="G497" s="30" t="str">
        <f>IF(B497=0,"",IF('Cumulative Volumes Imperial'!$AQ$17=FALSE,I497,H497))</f>
        <v/>
      </c>
      <c r="H497" s="30"/>
      <c r="I497" s="30"/>
      <c r="J497" s="30" t="str">
        <f>IF(B497="","",IF('Cumulative Volumes Imperial'!$AQ$17=FALSE,L497,K497))</f>
        <v/>
      </c>
      <c r="K497" s="30"/>
      <c r="L497" s="30"/>
      <c r="M497" s="30" t="str">
        <f>IF($E$8+45+$E$9&gt;989,"FALSE",IF(B497="","",IF('Cumulative Volumes Imperial'!$AQ$17=FALSE,O497,N497)))</f>
        <v/>
      </c>
      <c r="N497" s="30"/>
      <c r="O497" s="30"/>
      <c r="P497" s="30" t="str">
        <f>IF(B497=0,"",(((1/12)*'Imperial Data'!$AC$4*'Imperial Data'!$AC$5)-C497)*$H$6)</f>
        <v/>
      </c>
      <c r="Q497" s="30"/>
      <c r="R497" s="30" t="str">
        <f>IF(B497=0,"",(((1/12)*'Imperial Data'!$AC$5*'Imperial Data'!$AC$7)-D497)*$H$6)</f>
        <v/>
      </c>
      <c r="S497" s="30"/>
      <c r="T497" s="30"/>
      <c r="U497" s="30"/>
      <c r="V497" s="30"/>
      <c r="W497" s="30" t="str">
        <f t="shared" si="70"/>
        <v/>
      </c>
      <c r="X497" s="31"/>
      <c r="Y497" s="30" t="str">
        <f t="shared" si="71"/>
        <v/>
      </c>
    </row>
    <row r="498" spans="2:25" x14ac:dyDescent="0.2">
      <c r="B498" s="34"/>
      <c r="C498" s="30" t="str">
        <f>IF(B498=0,"",IF('Imperial Data'!AG487&gt;=1, INDEX(Imperial_Incremental[], MATCH('Imperial Data'!AG487, Imperial_Incremental[Height], 1), MATCH('Cumulative Volumes Imperial'!$F$4, Imperial_Incremental[#Headers], 0)), 0))</f>
        <v/>
      </c>
      <c r="D498" s="30" t="str">
        <f>IF(B498=0,"",IF('Imperial Data'!AG487&gt;=1, INDEX(Imperial_Incremental[], MATCH('Imperial Data'!AG487, Imperial_Incremental[Height], 1), MATCH('Cumulative Volumes Imperial'!$F$4 &amp; "EC", Imperial_Incremental[#Headers], 0)), 0))</f>
        <v/>
      </c>
      <c r="E498" s="30"/>
      <c r="F498" s="30"/>
      <c r="G498" s="30" t="str">
        <f>IF(B498=0,"",IF('Cumulative Volumes Imperial'!$AQ$17=FALSE,I498,H498))</f>
        <v/>
      </c>
      <c r="H498" s="30"/>
      <c r="I498" s="30"/>
      <c r="J498" s="30" t="str">
        <f>IF(B498="","",IF('Cumulative Volumes Imperial'!$AQ$17=FALSE,L498,K498))</f>
        <v/>
      </c>
      <c r="K498" s="30"/>
      <c r="L498" s="30"/>
      <c r="M498" s="30" t="str">
        <f>IF($E$8+45+$E$9&gt;989,"FALSE",IF(B498="","",IF('Cumulative Volumes Imperial'!$AQ$17=FALSE,O498,N498)))</f>
        <v/>
      </c>
      <c r="N498" s="30"/>
      <c r="O498" s="30"/>
      <c r="P498" s="30" t="str">
        <f>IF(B498=0,"",(((1/12)*'Imperial Data'!$AC$4*'Imperial Data'!$AC$5)-C498)*$H$6)</f>
        <v/>
      </c>
      <c r="Q498" s="30"/>
      <c r="R498" s="30" t="str">
        <f>IF(B498=0,"",(((1/12)*'Imperial Data'!$AC$5*'Imperial Data'!$AC$7)-D498)*$H$6)</f>
        <v/>
      </c>
      <c r="S498" s="30"/>
      <c r="T498" s="30"/>
      <c r="U498" s="30"/>
      <c r="V498" s="30"/>
      <c r="W498" s="30" t="str">
        <f t="shared" si="70"/>
        <v/>
      </c>
      <c r="X498" s="31"/>
      <c r="Y498" s="30" t="str">
        <f t="shared" si="71"/>
        <v/>
      </c>
    </row>
    <row r="499" spans="2:25" x14ac:dyDescent="0.2">
      <c r="B499" s="34"/>
      <c r="C499" s="30" t="str">
        <f>IF(B499=0,"",IF('Imperial Data'!AG488&gt;=1, INDEX(Imperial_Incremental[], MATCH('Imperial Data'!AG488, Imperial_Incremental[Height], 1), MATCH('Cumulative Volumes Imperial'!$F$4, Imperial_Incremental[#Headers], 0)), 0))</f>
        <v/>
      </c>
      <c r="D499" s="30" t="str">
        <f>IF(B499=0,"",IF('Imperial Data'!AG488&gt;=1, INDEX(Imperial_Incremental[], MATCH('Imperial Data'!AG488, Imperial_Incremental[Height], 1), MATCH('Cumulative Volumes Imperial'!$F$4 &amp; "EC", Imperial_Incremental[#Headers], 0)), 0))</f>
        <v/>
      </c>
      <c r="E499" s="30"/>
      <c r="F499" s="30"/>
      <c r="G499" s="30" t="str">
        <f>IF(B499=0,"",IF('Cumulative Volumes Imperial'!$AQ$17=FALSE,I499,H499))</f>
        <v/>
      </c>
      <c r="H499" s="30"/>
      <c r="I499" s="30"/>
      <c r="J499" s="30" t="str">
        <f>IF(B499="","",IF('Cumulative Volumes Imperial'!$AQ$17=FALSE,L499,K499))</f>
        <v/>
      </c>
      <c r="K499" s="30"/>
      <c r="L499" s="30"/>
      <c r="M499" s="30" t="str">
        <f>IF($E$8+45+$E$9&gt;989,"FALSE",IF(B499="","",IF('Cumulative Volumes Imperial'!$AQ$17=FALSE,O499,N499)))</f>
        <v/>
      </c>
      <c r="N499" s="30"/>
      <c r="O499" s="30"/>
      <c r="P499" s="30" t="str">
        <f>IF(B499=0,"",(((1/12)*'Imperial Data'!$AC$4*'Imperial Data'!$AC$5)-C499)*$H$6)</f>
        <v/>
      </c>
      <c r="Q499" s="30"/>
      <c r="R499" s="30" t="str">
        <f>IF(B499=0,"",(((1/12)*'Imperial Data'!$AC$5*'Imperial Data'!$AC$7)-D499)*$H$6)</f>
        <v/>
      </c>
      <c r="S499" s="30"/>
      <c r="T499" s="30"/>
      <c r="U499" s="30"/>
      <c r="V499" s="30"/>
      <c r="W499" s="30" t="str">
        <f t="shared" si="70"/>
        <v/>
      </c>
      <c r="X499" s="31"/>
      <c r="Y499" s="30" t="str">
        <f t="shared" si="71"/>
        <v/>
      </c>
    </row>
    <row r="500" spans="2:25" x14ac:dyDescent="0.2">
      <c r="B500" s="34"/>
      <c r="C500" s="30" t="str">
        <f>IF(B500=0,"",IF('Imperial Data'!AG489&gt;=1, INDEX(Imperial_Incremental[], MATCH('Imperial Data'!AG489, Imperial_Incremental[Height], 1), MATCH('Cumulative Volumes Imperial'!$F$4, Imperial_Incremental[#Headers], 0)), 0))</f>
        <v/>
      </c>
      <c r="D500" s="30" t="str">
        <f>IF(B500=0,"",IF('Imperial Data'!AG489&gt;=1, INDEX(Imperial_Incremental[], MATCH('Imperial Data'!AG489, Imperial_Incremental[Height], 1), MATCH('Cumulative Volumes Imperial'!$F$4 &amp; "EC", Imperial_Incremental[#Headers], 0)), 0))</f>
        <v/>
      </c>
      <c r="E500" s="30"/>
      <c r="F500" s="30"/>
      <c r="G500" s="30"/>
      <c r="H500" s="30"/>
      <c r="I500" s="30"/>
      <c r="J500" s="30" t="str">
        <f>IF(B500="","",IF('Cumulative Volumes Imperial'!$AQ$17=FALSE,L500,K500))</f>
        <v/>
      </c>
      <c r="K500" s="30"/>
      <c r="L500" s="30"/>
      <c r="M500" s="30" t="str">
        <f>IF($E$8+45+$E$9&gt;989,"FALSE",IF(B500="","",IF('Cumulative Volumes Imperial'!$AQ$17=FALSE,O500,N500)))</f>
        <v/>
      </c>
      <c r="N500" s="30"/>
      <c r="O500" s="30"/>
      <c r="P500" s="30" t="str">
        <f>IF(B500=0,"",(((1/12)*'Imperial Data'!$AC$4*'Imperial Data'!$AC$5)-C500)*$H$6)</f>
        <v/>
      </c>
      <c r="Q500" s="30"/>
      <c r="R500" s="30" t="str">
        <f>IF(B500=0,"",(((1/12)*'Imperial Data'!$AC$5*'Imperial Data'!$AC$7)-D500)*$H$6)</f>
        <v/>
      </c>
      <c r="S500" s="30"/>
      <c r="T500" s="30"/>
      <c r="U500" s="30"/>
      <c r="V500" s="30"/>
      <c r="W500" s="30" t="str">
        <f t="shared" si="70"/>
        <v/>
      </c>
      <c r="X500" s="31"/>
      <c r="Y500" s="30" t="str">
        <f t="shared" si="71"/>
        <v/>
      </c>
    </row>
    <row r="501" spans="2:25" x14ac:dyDescent="0.2">
      <c r="B501" s="34"/>
      <c r="C501" s="30" t="str">
        <f>IF(B501=0,"",IF('Imperial Data'!AG490&gt;=1, INDEX(Imperial_Incremental[], MATCH('Imperial Data'!AG490, Imperial_Incremental[Height], 1), MATCH('Cumulative Volumes Imperial'!$F$4, Imperial_Incremental[#Headers], 0)), 0))</f>
        <v/>
      </c>
      <c r="D501" s="30" t="str">
        <f>IF(B501=0,"",IF('Imperial Data'!AG490&gt;=1, INDEX(Imperial_Incremental[], MATCH('Imperial Data'!AG490, Imperial_Incremental[Height], 1), MATCH('Cumulative Volumes Imperial'!$F$4 &amp; "EC", Imperial_Incremental[#Headers], 0)), 0))</f>
        <v/>
      </c>
      <c r="E501" s="30"/>
      <c r="F501" s="30"/>
      <c r="G501" s="30"/>
      <c r="H501" s="30"/>
      <c r="I501" s="30"/>
      <c r="J501" s="30" t="str">
        <f>IF(B501="","",IF('Cumulative Volumes Imperial'!$AQ$17=FALSE,L501,K501))</f>
        <v/>
      </c>
      <c r="K501" s="30"/>
      <c r="L501" s="30"/>
      <c r="M501" s="30" t="str">
        <f>IF($E$8+45+$E$9&gt;989,"FALSE",IF(B501="","",IF('Cumulative Volumes Imperial'!$AQ$17=FALSE,O501,N501)))</f>
        <v/>
      </c>
      <c r="N501" s="30"/>
      <c r="O501" s="30"/>
      <c r="P501" s="30" t="str">
        <f>IF(B501=0,"",(((1/12)*'Imperial Data'!$AC$4*'Imperial Data'!$AC$5)-C501)*$H$6)</f>
        <v/>
      </c>
      <c r="Q501" s="30"/>
      <c r="R501" s="30" t="str">
        <f>IF(B501=0,"",(((1/12)*'Imperial Data'!$AC$5*'Imperial Data'!$AC$7)-D501)*$H$6)</f>
        <v/>
      </c>
      <c r="S501" s="30"/>
      <c r="T501" s="30"/>
      <c r="U501" s="30"/>
      <c r="V501" s="30"/>
      <c r="W501" s="30" t="str">
        <f t="shared" si="70"/>
        <v/>
      </c>
      <c r="X501" s="31"/>
      <c r="Y501" s="30" t="str">
        <f t="shared" si="71"/>
        <v/>
      </c>
    </row>
    <row r="502" spans="2:25" x14ac:dyDescent="0.2">
      <c r="B502" s="34"/>
      <c r="C502" s="30" t="str">
        <f>IF(B502=0,"",IF('Imperial Data'!AG491&gt;=1, INDEX(Imperial_Incremental[], MATCH('Imperial Data'!AG491, Imperial_Incremental[Height], 1), MATCH('Cumulative Volumes Imperial'!$F$4, Imperial_Incremental[#Headers], 0)), 0))</f>
        <v/>
      </c>
      <c r="D502" s="30" t="str">
        <f>IF(B502=0,"",IF('Imperial Data'!AG491&gt;=1, INDEX(Imperial_Incremental[], MATCH('Imperial Data'!AG491, Imperial_Incremental[Height], 1), MATCH('Cumulative Volumes Imperial'!$F$4 &amp; "EC", Imperial_Incremental[#Headers], 0)), 0))</f>
        <v/>
      </c>
      <c r="E502" s="30"/>
      <c r="F502" s="30"/>
      <c r="G502" s="30"/>
      <c r="H502" s="30"/>
      <c r="I502" s="30"/>
      <c r="J502" s="30" t="str">
        <f>IF(B502="","",IF('Cumulative Volumes Imperial'!$AQ$17=FALSE,L502,K502))</f>
        <v/>
      </c>
      <c r="K502" s="30"/>
      <c r="L502" s="30"/>
      <c r="M502" s="30" t="str">
        <f>IF($E$8+45+$E$9&gt;989,"FALSE",IF(B502="","",IF('Cumulative Volumes Imperial'!$AQ$17=FALSE,O502,N502)))</f>
        <v/>
      </c>
      <c r="N502" s="30"/>
      <c r="O502" s="30"/>
      <c r="P502" s="30" t="str">
        <f>IF(B502=0,"",(((1/12)*'Imperial Data'!$AC$4*'Imperial Data'!$AC$5)-C502)*$H$6)</f>
        <v/>
      </c>
      <c r="Q502" s="30"/>
      <c r="R502" s="30" t="str">
        <f>IF(B502=0,"",(((1/12)*'Imperial Data'!$AC$5*'Imperial Data'!$AC$7)-D502)*$H$6)</f>
        <v/>
      </c>
      <c r="S502" s="30"/>
      <c r="T502" s="30"/>
      <c r="U502" s="30"/>
      <c r="V502" s="30"/>
      <c r="W502" s="30" t="str">
        <f t="shared" si="70"/>
        <v/>
      </c>
      <c r="X502" s="31"/>
      <c r="Y502" s="30" t="str">
        <f t="shared" si="71"/>
        <v/>
      </c>
    </row>
    <row r="503" spans="2:25" x14ac:dyDescent="0.2">
      <c r="B503" s="34"/>
      <c r="C503" s="30" t="str">
        <f>IF(B503=0,"",IF('Imperial Data'!AG492&gt;=1, INDEX(Imperial_Incremental[], MATCH('Imperial Data'!AG492, Imperial_Incremental[Height], 1), MATCH('Cumulative Volumes Imperial'!$F$4, Imperial_Incremental[#Headers], 0)), 0))</f>
        <v/>
      </c>
      <c r="D503" s="30" t="str">
        <f>IF(B503=0,"",IF('Imperial Data'!AG492&gt;=1, INDEX(Imperial_Incremental[], MATCH('Imperial Data'!AG492, Imperial_Incremental[Height], 1), MATCH('Cumulative Volumes Imperial'!$F$4 &amp; "EC", Imperial_Incremental[#Headers], 0)), 0))</f>
        <v/>
      </c>
      <c r="E503" s="30"/>
      <c r="F503" s="30"/>
      <c r="G503" s="30"/>
      <c r="H503" s="30"/>
      <c r="I503" s="30"/>
      <c r="J503" s="30" t="str">
        <f>IF(B503="","",IF('Cumulative Volumes Imperial'!$AQ$17=FALSE,L503,K503))</f>
        <v/>
      </c>
      <c r="K503" s="30"/>
      <c r="L503" s="30"/>
      <c r="M503" s="30" t="str">
        <f>IF($E$8+45+$E$9&gt;989,"FALSE",IF(B503="","",IF('Cumulative Volumes Imperial'!$AQ$17=FALSE,O503,N503)))</f>
        <v/>
      </c>
      <c r="N503" s="30"/>
      <c r="O503" s="30"/>
      <c r="P503" s="30" t="str">
        <f>IF(B503=0,"",(((1/12)*'Imperial Data'!$AC$4*'Imperial Data'!$AC$5)-C503)*$H$6)</f>
        <v/>
      </c>
      <c r="Q503" s="30"/>
      <c r="R503" s="30" t="str">
        <f>IF(B503=0,"",(((1/12)*'Imperial Data'!$AC$5*'Imperial Data'!$AC$7)-D503)*$H$6)</f>
        <v/>
      </c>
      <c r="S503" s="30"/>
      <c r="T503" s="30"/>
      <c r="U503" s="30"/>
      <c r="V503" s="30"/>
      <c r="W503" s="30" t="str">
        <f t="shared" si="70"/>
        <v/>
      </c>
      <c r="X503" s="31"/>
      <c r="Y503" s="30" t="str">
        <f t="shared" si="71"/>
        <v/>
      </c>
    </row>
    <row r="504" spans="2:25" x14ac:dyDescent="0.2">
      <c r="B504" s="34"/>
      <c r="C504" s="30" t="str">
        <f>IF(B504=0,"",IF('Imperial Data'!AG493&gt;=1, INDEX(Imperial_Incremental[], MATCH('Imperial Data'!AG493, Imperial_Incremental[Height], 1), MATCH('Cumulative Volumes Imperial'!$F$4, Imperial_Incremental[#Headers], 0)), 0))</f>
        <v/>
      </c>
      <c r="D504" s="30" t="str">
        <f>IF(B504=0,"",IF('Imperial Data'!AG493&gt;=1, INDEX(Imperial_Incremental[], MATCH('Imperial Data'!AG493, Imperial_Incremental[Height], 1), MATCH('Cumulative Volumes Imperial'!$F$4 &amp; "EC", Imperial_Incremental[#Headers], 0)), 0))</f>
        <v/>
      </c>
      <c r="E504" s="30"/>
      <c r="F504" s="30"/>
      <c r="G504" s="30"/>
      <c r="H504" s="30"/>
      <c r="I504" s="30"/>
      <c r="J504" s="30" t="str">
        <f>IF(B504="","",IF('Cumulative Volumes Imperial'!$AQ$17=FALSE,L504,K504))</f>
        <v/>
      </c>
      <c r="K504" s="30"/>
      <c r="L504" s="30"/>
      <c r="M504" s="30" t="str">
        <f>IF($E$8+45+$E$9&gt;989,"FALSE",IF(B504="","",IF('Cumulative Volumes Imperial'!$AQ$17=FALSE,O504,N504)))</f>
        <v/>
      </c>
      <c r="N504" s="30"/>
      <c r="O504" s="30"/>
      <c r="P504" s="30" t="str">
        <f>IF(B504=0,"",(((1/12)*'Imperial Data'!$AC$4*'Imperial Data'!$AC$5)-C504)*$H$6)</f>
        <v/>
      </c>
      <c r="Q504" s="30"/>
      <c r="R504" s="30" t="str">
        <f>IF(B504=0,"",(((1/12)*'Imperial Data'!$AC$5*'Imperial Data'!$AC$7)-D504)*$H$6)</f>
        <v/>
      </c>
      <c r="S504" s="30"/>
      <c r="T504" s="30"/>
      <c r="U504" s="30"/>
      <c r="V504" s="30"/>
      <c r="W504" s="30" t="str">
        <f t="shared" si="70"/>
        <v/>
      </c>
      <c r="X504" s="31"/>
      <c r="Y504" s="30" t="str">
        <f t="shared" si="71"/>
        <v/>
      </c>
    </row>
    <row r="505" spans="2:25" x14ac:dyDescent="0.2">
      <c r="B505" s="34"/>
      <c r="C505" s="30" t="str">
        <f>IF(B505=0,"",IF('Imperial Data'!AG494&gt;=1, INDEX(Imperial_Incremental[], MATCH('Imperial Data'!AG494, Imperial_Incremental[Height], 1), MATCH('Cumulative Volumes Imperial'!$F$4, Imperial_Incremental[#Headers], 0)), 0))</f>
        <v/>
      </c>
      <c r="D505" s="30" t="str">
        <f>IF(B505=0,"",IF('Imperial Data'!AG494&gt;=1, INDEX(Imperial_Incremental[], MATCH('Imperial Data'!AG494, Imperial_Incremental[Height], 1), MATCH('Cumulative Volumes Imperial'!$F$4 &amp; "EC", Imperial_Incremental[#Headers], 0)), 0))</f>
        <v/>
      </c>
      <c r="E505" s="30"/>
      <c r="F505" s="30"/>
      <c r="G505" s="30"/>
      <c r="H505" s="30"/>
      <c r="I505" s="30"/>
      <c r="J505" s="30" t="str">
        <f>IF(B505="","",IF('Cumulative Volumes Imperial'!$AQ$17=FALSE,L505,K505))</f>
        <v/>
      </c>
      <c r="K505" s="30"/>
      <c r="L505" s="30"/>
      <c r="M505" s="30" t="str">
        <f>IF($E$8+45+$E$9&gt;989,"FALSE",IF(B505="","",IF('Cumulative Volumes Imperial'!$AQ$17=FALSE,O505,N505)))</f>
        <v/>
      </c>
      <c r="N505" s="30"/>
      <c r="O505" s="30"/>
      <c r="P505" s="30" t="str">
        <f>IF(B505=0,"",(((1/12)*'Imperial Data'!$AC$4*'Imperial Data'!$AC$5)-C505)*$H$6)</f>
        <v/>
      </c>
      <c r="Q505" s="30"/>
      <c r="R505" s="30" t="str">
        <f>IF(B505=0,"",(((1/12)*'Imperial Data'!$AC$5*'Imperial Data'!$AC$7)-D505)*$H$6)</f>
        <v/>
      </c>
      <c r="S505" s="30"/>
      <c r="T505" s="30"/>
      <c r="U505" s="30"/>
      <c r="V505" s="30"/>
      <c r="W505" s="30" t="str">
        <f t="shared" si="70"/>
        <v/>
      </c>
      <c r="X505" s="31"/>
      <c r="Y505" s="30" t="str">
        <f t="shared" si="71"/>
        <v/>
      </c>
    </row>
    <row r="506" spans="2:25" x14ac:dyDescent="0.2">
      <c r="B506" s="34"/>
      <c r="C506" s="30" t="str">
        <f>IF(B506=0,"",IF('Imperial Data'!AG495&gt;=1, INDEX(Imperial_Incremental[], MATCH('Imperial Data'!AG495, Imperial_Incremental[Height], 1), MATCH('Cumulative Volumes Imperial'!$F$4, Imperial_Incremental[#Headers], 0)), 0))</f>
        <v/>
      </c>
      <c r="D506" s="30" t="str">
        <f>IF(B506=0,"",IF('Imperial Data'!AG495&gt;=1, INDEX(Imperial_Incremental[], MATCH('Imperial Data'!AG495, Imperial_Incremental[Height], 1), MATCH('Cumulative Volumes Imperial'!$F$4 &amp; "EC", Imperial_Incremental[#Headers], 0)), 0))</f>
        <v/>
      </c>
      <c r="E506" s="30"/>
      <c r="F506" s="30"/>
      <c r="G506" s="30"/>
      <c r="H506" s="30"/>
      <c r="I506" s="30"/>
      <c r="J506" s="30" t="str">
        <f>IF(B506="","",IF('Cumulative Volumes Imperial'!$AQ$17=FALSE,L506,K506))</f>
        <v/>
      </c>
      <c r="K506" s="30"/>
      <c r="L506" s="30"/>
      <c r="M506" s="30" t="str">
        <f>IF($E$8+45+$E$9&gt;989,"FALSE",IF(B506="","",IF('Cumulative Volumes Imperial'!$AQ$17=FALSE,O506,N506)))</f>
        <v/>
      </c>
      <c r="N506" s="30"/>
      <c r="O506" s="30"/>
      <c r="P506" s="30" t="str">
        <f>IF(B506=0,"",(((1/12)*'Imperial Data'!$AC$4*'Imperial Data'!$AC$5)-C506)*$H$6)</f>
        <v/>
      </c>
      <c r="Q506" s="30"/>
      <c r="R506" s="30" t="str">
        <f>IF(B506=0,"",(((1/12)*'Imperial Data'!$AC$5*'Imperial Data'!$AC$7)-D506)*$H$6)</f>
        <v/>
      </c>
      <c r="S506" s="30"/>
      <c r="T506" s="30"/>
      <c r="U506" s="30"/>
      <c r="V506" s="30"/>
      <c r="W506" s="30" t="str">
        <f t="shared" si="70"/>
        <v/>
      </c>
      <c r="X506" s="31"/>
      <c r="Y506" s="30" t="str">
        <f t="shared" si="71"/>
        <v/>
      </c>
    </row>
    <row r="507" spans="2:25" x14ac:dyDescent="0.2">
      <c r="B507" s="34"/>
      <c r="C507" s="30" t="str">
        <f>IF(B507=0,"",IF('Imperial Data'!AG496&gt;=1, INDEX(Imperial_Incremental[], MATCH('Imperial Data'!AG496, Imperial_Incremental[Height], 1), MATCH('Cumulative Volumes Imperial'!$F$4, Imperial_Incremental[#Headers], 0)), 0))</f>
        <v/>
      </c>
      <c r="D507" s="30" t="str">
        <f>IF(B507=0,"",IF('Imperial Data'!AG496&gt;=1, INDEX(Imperial_Incremental[], MATCH('Imperial Data'!AG496, Imperial_Incremental[Height], 1), MATCH('Cumulative Volumes Imperial'!$F$4 &amp; "EC", Imperial_Incremental[#Headers], 0)), 0))</f>
        <v/>
      </c>
      <c r="E507" s="30"/>
      <c r="F507" s="30"/>
      <c r="G507" s="30"/>
      <c r="H507" s="30"/>
      <c r="I507" s="30"/>
      <c r="J507" s="30" t="str">
        <f>IF(B507="","",IF('Cumulative Volumes Imperial'!$AQ$17=FALSE,L507,K507))</f>
        <v/>
      </c>
      <c r="K507" s="30"/>
      <c r="L507" s="30"/>
      <c r="M507" s="30" t="str">
        <f>IF($E$8+45+$E$9&gt;989,"FALSE",IF(B507="","",IF('Cumulative Volumes Imperial'!$AQ$17=FALSE,O507,N507)))</f>
        <v/>
      </c>
      <c r="N507" s="30"/>
      <c r="O507" s="30"/>
      <c r="P507" s="30" t="str">
        <f>IF(B507=0,"",(((1/12)*'Imperial Data'!$AC$4*'Imperial Data'!$AC$5)-C507)*$H$6)</f>
        <v/>
      </c>
      <c r="Q507" s="30"/>
      <c r="R507" s="30" t="str">
        <f>IF(B507=0,"",(((1/12)*'Imperial Data'!$AC$5*'Imperial Data'!$AC$7)-D507)*$H$6)</f>
        <v/>
      </c>
      <c r="S507" s="30"/>
      <c r="T507" s="30"/>
      <c r="U507" s="30"/>
      <c r="V507" s="30"/>
      <c r="W507" s="30" t="str">
        <f t="shared" si="70"/>
        <v/>
      </c>
      <c r="X507" s="31"/>
      <c r="Y507" s="30" t="str">
        <f t="shared" si="71"/>
        <v/>
      </c>
    </row>
    <row r="508" spans="2:25" x14ac:dyDescent="0.2">
      <c r="B508" s="34"/>
      <c r="C508" s="30" t="str">
        <f>IF(B508=0,"",IF('Imperial Data'!AG497&gt;=1, INDEX(Imperial_Incremental[], MATCH('Imperial Data'!AG497, Imperial_Incremental[Height], 1), MATCH('Cumulative Volumes Imperial'!$F$4, Imperial_Incremental[#Headers], 0)), 0))</f>
        <v/>
      </c>
      <c r="D508" s="30" t="str">
        <f>IF(B508=0,"",IF('Imperial Data'!AG497&gt;=1, INDEX(Imperial_Incremental[], MATCH('Imperial Data'!AG497, Imperial_Incremental[Height], 1), MATCH('Cumulative Volumes Imperial'!$F$4 &amp; "EC", Imperial_Incremental[#Headers], 0)), 0))</f>
        <v/>
      </c>
      <c r="E508" s="30"/>
      <c r="F508" s="30"/>
      <c r="G508" s="30"/>
      <c r="H508" s="30"/>
      <c r="I508" s="30"/>
      <c r="J508" s="30" t="str">
        <f>IF(B508="","",IF('Cumulative Volumes Imperial'!$AQ$17=FALSE,L508,K508))</f>
        <v/>
      </c>
      <c r="K508" s="30"/>
      <c r="L508" s="30"/>
      <c r="M508" s="30" t="str">
        <f>IF($E$8+45+$E$9&gt;989,"FALSE",IF(B508="","",IF('Cumulative Volumes Imperial'!$AQ$17=FALSE,O508,N508)))</f>
        <v/>
      </c>
      <c r="N508" s="30"/>
      <c r="O508" s="30"/>
      <c r="P508" s="30" t="str">
        <f>IF(B508=0,"",(((1/12)*'Imperial Data'!$AC$4*'Imperial Data'!$AC$5)-C508)*$H$6)</f>
        <v/>
      </c>
      <c r="Q508" s="30"/>
      <c r="R508" s="30" t="str">
        <f>IF(B508=0,"",(((1/12)*'Imperial Data'!$AC$5*'Imperial Data'!$AC$7)-D508)*$H$6)</f>
        <v/>
      </c>
      <c r="S508" s="30"/>
      <c r="T508" s="30"/>
      <c r="U508" s="30"/>
      <c r="V508" s="30"/>
      <c r="W508" s="30" t="str">
        <f t="shared" si="70"/>
        <v/>
      </c>
      <c r="X508" s="31"/>
      <c r="Y508" s="30" t="str">
        <f t="shared" si="71"/>
        <v/>
      </c>
    </row>
    <row r="509" spans="2:25" x14ac:dyDescent="0.2">
      <c r="B509" s="34"/>
      <c r="C509" s="30" t="str">
        <f>IF(B509=0,"",IF('Imperial Data'!AG498&gt;=1, INDEX(Imperial_Incremental[], MATCH('Imperial Data'!AG498, Imperial_Incremental[Height], 1), MATCH('Cumulative Volumes Imperial'!$F$4, Imperial_Incremental[#Headers], 0)), 0))</f>
        <v/>
      </c>
      <c r="D509" s="30" t="str">
        <f>IF(B509=0,"",IF('Imperial Data'!AG498&gt;=1, INDEX(Imperial_Incremental[], MATCH('Imperial Data'!AG498, Imperial_Incremental[Height], 1), MATCH('Cumulative Volumes Imperial'!$F$4 &amp; "EC", Imperial_Incremental[#Headers], 0)), 0))</f>
        <v/>
      </c>
      <c r="E509" s="30"/>
      <c r="F509" s="30"/>
      <c r="G509" s="30"/>
      <c r="H509" s="30"/>
      <c r="I509" s="30"/>
      <c r="J509" s="30" t="str">
        <f>IF(B509="","",IF('Cumulative Volumes Imperial'!$AQ$17=FALSE,L509,K509))</f>
        <v/>
      </c>
      <c r="K509" s="30"/>
      <c r="L509" s="30"/>
      <c r="M509" s="30" t="str">
        <f>IF($E$8+45+$E$9&gt;989,"FALSE",IF(B509="","",IF('Cumulative Volumes Imperial'!$AQ$17=FALSE,O509,N509)))</f>
        <v/>
      </c>
      <c r="N509" s="30"/>
      <c r="O509" s="30"/>
      <c r="P509" s="30" t="str">
        <f>IF(B509=0,"",(((1/12)*'Imperial Data'!$AC$4*'Imperial Data'!$AC$5)-C509)*$H$6)</f>
        <v/>
      </c>
      <c r="Q509" s="30"/>
      <c r="R509" s="30" t="str">
        <f>IF(B509=0,"",(((1/12)*'Imperial Data'!$AC$5*'Imperial Data'!$AC$7)-D509)*$H$6)</f>
        <v/>
      </c>
      <c r="S509" s="30"/>
      <c r="T509" s="30"/>
      <c r="U509" s="30"/>
      <c r="V509" s="30"/>
      <c r="W509" s="30" t="str">
        <f t="shared" si="70"/>
        <v/>
      </c>
      <c r="X509" s="31"/>
      <c r="Y509" s="30" t="str">
        <f t="shared" si="71"/>
        <v/>
      </c>
    </row>
    <row r="510" spans="2:25" x14ac:dyDescent="0.2">
      <c r="B510" s="34"/>
      <c r="C510" s="30" t="str">
        <f>IF(B510=0,"",IF('Imperial Data'!AG499&gt;=1, INDEX(Imperial_Incremental[], MATCH('Imperial Data'!AG499, Imperial_Incremental[Height], 1), MATCH('Cumulative Volumes Imperial'!$F$4, Imperial_Incremental[#Headers], 0)), 0))</f>
        <v/>
      </c>
      <c r="D510" s="30" t="str">
        <f>IF(B510=0,"",IF('Imperial Data'!AG499&gt;=1, INDEX(Imperial_Incremental[], MATCH('Imperial Data'!AG499, Imperial_Incremental[Height], 1), MATCH('Cumulative Volumes Imperial'!$F$4 &amp; "EC", Imperial_Incremental[#Headers], 0)), 0))</f>
        <v/>
      </c>
      <c r="E510" s="30"/>
      <c r="F510" s="30"/>
      <c r="G510" s="30"/>
      <c r="H510" s="30"/>
      <c r="I510" s="30"/>
      <c r="J510" s="30" t="str">
        <f>IF(B510="","",IF('Cumulative Volumes Imperial'!$AQ$17=FALSE,L510,K510))</f>
        <v/>
      </c>
      <c r="K510" s="30"/>
      <c r="L510" s="30"/>
      <c r="M510" s="30" t="str">
        <f>IF($E$8+45+$E$9&gt;989,"FALSE",IF(B510="","",IF('Cumulative Volumes Imperial'!$AQ$17=FALSE,O510,N510)))</f>
        <v/>
      </c>
      <c r="N510" s="30"/>
      <c r="O510" s="30"/>
      <c r="P510" s="30" t="str">
        <f>IF(B510=0,"",(((1/12)*'Imperial Data'!$AC$4*'Imperial Data'!$AC$5)-C510)*$H$6)</f>
        <v/>
      </c>
      <c r="Q510" s="30"/>
      <c r="R510" s="30" t="str">
        <f>IF(B510=0,"",(((1/12)*'Imperial Data'!$AC$5*'Imperial Data'!$AC$7)-D510)*$H$6)</f>
        <v/>
      </c>
      <c r="S510" s="30"/>
      <c r="T510" s="30"/>
      <c r="U510" s="30"/>
      <c r="V510" s="30"/>
      <c r="W510" s="30" t="str">
        <f t="shared" si="70"/>
        <v/>
      </c>
      <c r="X510" s="31"/>
      <c r="Y510" s="30" t="str">
        <f t="shared" si="71"/>
        <v/>
      </c>
    </row>
    <row r="511" spans="2:25" x14ac:dyDescent="0.2">
      <c r="B511" s="34"/>
      <c r="C511" s="30" t="str">
        <f>IF(B511=0,"",IF('Imperial Data'!AG500&gt;=1, INDEX(Imperial_Incremental[], MATCH('Imperial Data'!AG500, Imperial_Incremental[Height], 1), MATCH('Cumulative Volumes Imperial'!$F$4, Imperial_Incremental[#Headers], 0)), 0))</f>
        <v/>
      </c>
      <c r="D511" s="30" t="str">
        <f>IF(B511=0,"",IF('Imperial Data'!AG500&gt;=1, INDEX(Imperial_Incremental[], MATCH('Imperial Data'!AG500, Imperial_Incremental[Height], 1), MATCH('Cumulative Volumes Imperial'!$F$4 &amp; "EC", Imperial_Incremental[#Headers], 0)), 0))</f>
        <v/>
      </c>
      <c r="E511" s="30"/>
      <c r="F511" s="30"/>
      <c r="G511" s="30"/>
      <c r="H511" s="30"/>
      <c r="I511" s="30"/>
      <c r="J511" s="30" t="str">
        <f>IF(B511="","",IF('Cumulative Volumes Imperial'!$AQ$17=FALSE,L511,K511))</f>
        <v/>
      </c>
      <c r="K511" s="30"/>
      <c r="L511" s="30"/>
      <c r="M511" s="30" t="str">
        <f>IF($E$8+45+$E$9&gt;989,"FALSE",IF(B511="","",IF('Cumulative Volumes Imperial'!$AQ$17=FALSE,O511,N511)))</f>
        <v/>
      </c>
      <c r="N511" s="30"/>
      <c r="O511" s="30"/>
      <c r="P511" s="30" t="str">
        <f>IF(B511=0,"",(((1/12)*'Imperial Data'!$AC$4*'Imperial Data'!$AC$5)-C511)*$H$6)</f>
        <v/>
      </c>
      <c r="Q511" s="30"/>
      <c r="R511" s="30" t="str">
        <f>IF(B511=0,"",(((1/12)*'Imperial Data'!$AC$5*'Imperial Data'!$AC$7)-D511)*$H$6)</f>
        <v/>
      </c>
      <c r="S511" s="30"/>
      <c r="T511" s="30"/>
      <c r="U511" s="30"/>
      <c r="V511" s="30"/>
      <c r="W511" s="30" t="str">
        <f t="shared" si="70"/>
        <v/>
      </c>
      <c r="X511" s="31"/>
      <c r="Y511" s="30" t="str">
        <f t="shared" si="71"/>
        <v/>
      </c>
    </row>
    <row r="512" spans="2:25" x14ac:dyDescent="0.2">
      <c r="B512" s="34"/>
      <c r="C512" s="30" t="str">
        <f>IF(B512=0,"",IF('Imperial Data'!AG501&gt;=1, INDEX(Imperial_Incremental[], MATCH('Imperial Data'!AG501, Imperial_Incremental[Height], 1), MATCH('Cumulative Volumes Imperial'!$F$4, Imperial_Incremental[#Headers], 0)), 0))</f>
        <v/>
      </c>
      <c r="D512" s="30" t="str">
        <f>IF(B512=0,"",IF('Imperial Data'!AG501&gt;=1, INDEX(Imperial_Incremental[], MATCH('Imperial Data'!AG501, Imperial_Incremental[Height], 1), MATCH('Cumulative Volumes Imperial'!$F$4 &amp; "EC", Imperial_Incremental[#Headers], 0)), 0))</f>
        <v/>
      </c>
      <c r="E512" s="30"/>
      <c r="F512" s="30"/>
      <c r="G512" s="30"/>
      <c r="H512" s="30"/>
      <c r="I512" s="30"/>
      <c r="J512" s="30" t="str">
        <f>IF(B512="","",IF('Cumulative Volumes Imperial'!$AQ$17=FALSE,L512,K512))</f>
        <v/>
      </c>
      <c r="K512" s="30"/>
      <c r="L512" s="30"/>
      <c r="M512" s="30" t="str">
        <f>IF($E$8+45+$E$9&gt;989,"FALSE",IF(B512="","",IF('Cumulative Volumes Imperial'!$AQ$17=FALSE,O512,N512)))</f>
        <v/>
      </c>
      <c r="N512" s="30"/>
      <c r="O512" s="30"/>
      <c r="P512" s="30" t="str">
        <f>IF(B512=0,"",(((1/12)*'Imperial Data'!$AC$4*'Imperial Data'!$AC$5)-C512)*$H$6)</f>
        <v/>
      </c>
      <c r="Q512" s="30"/>
      <c r="R512" s="30" t="str">
        <f>IF(B512=0,"",(((1/12)*'Imperial Data'!$AC$5*'Imperial Data'!$AC$7)-D512)*$H$6)</f>
        <v/>
      </c>
      <c r="S512" s="30"/>
      <c r="T512" s="30"/>
      <c r="U512" s="30"/>
      <c r="V512" s="30"/>
      <c r="W512" s="30" t="str">
        <f t="shared" si="70"/>
        <v/>
      </c>
      <c r="X512" s="31"/>
      <c r="Y512" s="30" t="str">
        <f t="shared" si="71"/>
        <v/>
      </c>
    </row>
    <row r="513" spans="2:25" x14ac:dyDescent="0.2">
      <c r="B513" s="34"/>
      <c r="C513" s="30" t="str">
        <f>IF(B513=0,"",IF('Imperial Data'!AG502&gt;=1, INDEX(Imperial_Incremental[], MATCH('Imperial Data'!AG502, Imperial_Incremental[Height], 1), MATCH('Cumulative Volumes Imperial'!$F$4, Imperial_Incremental[#Headers], 0)), 0))</f>
        <v/>
      </c>
      <c r="D513" s="30" t="str">
        <f>IF(B513=0,"",IF('Imperial Data'!AG502&gt;=1, INDEX(Imperial_Incremental[], MATCH('Imperial Data'!AG502, Imperial_Incremental[Height], 1), MATCH('Cumulative Volumes Imperial'!$F$4 &amp; "EC", Imperial_Incremental[#Headers], 0)), 0))</f>
        <v/>
      </c>
      <c r="E513" s="30"/>
      <c r="F513" s="30"/>
      <c r="G513" s="30"/>
      <c r="H513" s="30"/>
      <c r="I513" s="30"/>
      <c r="J513" s="30" t="str">
        <f>IF(B513="","",IF('Cumulative Volumes Imperial'!$AQ$17=FALSE,L513,K513))</f>
        <v/>
      </c>
      <c r="K513" s="30"/>
      <c r="L513" s="30"/>
      <c r="M513" s="30" t="str">
        <f>IF($E$8+45+$E$9&gt;989,"FALSE",IF(B513="","",IF('Cumulative Volumes Imperial'!$AQ$17=FALSE,O513,N513)))</f>
        <v/>
      </c>
      <c r="N513" s="30"/>
      <c r="O513" s="30"/>
      <c r="P513" s="30" t="str">
        <f>IF(B513=0,"",(((1/12)*'Imperial Data'!$AC$4*'Imperial Data'!$AC$5)-C513)*$H$6)</f>
        <v/>
      </c>
      <c r="Q513" s="30"/>
      <c r="R513" s="30" t="str">
        <f>IF(B513=0,"",(((1/12)*'Imperial Data'!$AC$5*'Imperial Data'!$AC$7)-D513)*$H$6)</f>
        <v/>
      </c>
      <c r="S513" s="30"/>
      <c r="T513" s="30"/>
      <c r="U513" s="30"/>
      <c r="V513" s="30"/>
      <c r="W513" s="30" t="str">
        <f t="shared" si="70"/>
        <v/>
      </c>
      <c r="X513" s="31"/>
      <c r="Y513" s="30" t="str">
        <f t="shared" si="71"/>
        <v/>
      </c>
    </row>
    <row r="514" spans="2:25" x14ac:dyDescent="0.2">
      <c r="B514" s="34"/>
      <c r="C514" s="30" t="str">
        <f>IF(B514=0,"",IF('Imperial Data'!AG503&gt;=1, INDEX(Imperial_Incremental[], MATCH('Imperial Data'!AG503, Imperial_Incremental[Height], 1), MATCH('Cumulative Volumes Imperial'!$F$4, Imperial_Incremental[#Headers], 0)), 0))</f>
        <v/>
      </c>
      <c r="D514" s="30" t="str">
        <f>IF(B514=0,"",IF('Imperial Data'!AG503&gt;=1, INDEX(Imperial_Incremental[], MATCH('Imperial Data'!AG503, Imperial_Incremental[Height], 1), MATCH('Cumulative Volumes Imperial'!$F$4 &amp; "EC", Imperial_Incremental[#Headers], 0)), 0))</f>
        <v/>
      </c>
      <c r="E514" s="30"/>
      <c r="F514" s="30"/>
      <c r="G514" s="30"/>
      <c r="H514" s="30"/>
      <c r="I514" s="30"/>
      <c r="J514" s="30" t="str">
        <f>IF(B514="","",IF('Cumulative Volumes Imperial'!$AQ$17=FALSE,L514,K514))</f>
        <v/>
      </c>
      <c r="K514" s="30"/>
      <c r="L514" s="30"/>
      <c r="M514" s="30" t="str">
        <f>IF($E$8+45+$E$9&gt;989,"FALSE",IF(B514="","",IF('Cumulative Volumes Imperial'!$AQ$17=FALSE,O514,N514)))</f>
        <v/>
      </c>
      <c r="N514" s="30"/>
      <c r="O514" s="30"/>
      <c r="P514" s="30" t="str">
        <f>IF(B514=0,"",(((1/12)*'Imperial Data'!$AC$4*'Imperial Data'!$AC$5)-C514)*$H$6)</f>
        <v/>
      </c>
      <c r="Q514" s="30"/>
      <c r="R514" s="30" t="str">
        <f>IF(B514=0,"",(((1/12)*'Imperial Data'!$AC$5*'Imperial Data'!$AC$7)-D514)*$H$6)</f>
        <v/>
      </c>
      <c r="S514" s="30"/>
      <c r="T514" s="30"/>
      <c r="U514" s="30"/>
      <c r="V514" s="30"/>
      <c r="W514" s="30" t="str">
        <f t="shared" si="70"/>
        <v/>
      </c>
      <c r="X514" s="31"/>
      <c r="Y514" s="30" t="str">
        <f t="shared" si="71"/>
        <v/>
      </c>
    </row>
    <row r="515" spans="2:25" x14ac:dyDescent="0.2">
      <c r="B515" s="34"/>
      <c r="C515" s="30" t="str">
        <f>IF(B515=0,"",IF('Imperial Data'!AG504&gt;=1, INDEX(Imperial_Incremental[], MATCH('Imperial Data'!AG504, Imperial_Incremental[Height], 1), MATCH('Cumulative Volumes Imperial'!$F$4, Imperial_Incremental[#Headers], 0)), 0))</f>
        <v/>
      </c>
      <c r="D515" s="30" t="str">
        <f>IF(B515=0,"",IF('Imperial Data'!AG504&gt;=1, INDEX(Imperial_Incremental[], MATCH('Imperial Data'!AG504, Imperial_Incremental[Height], 1), MATCH('Cumulative Volumes Imperial'!$F$4 &amp; "EC", Imperial_Incremental[#Headers], 0)), 0))</f>
        <v/>
      </c>
      <c r="E515" s="30"/>
      <c r="F515" s="30"/>
      <c r="G515" s="30"/>
      <c r="H515" s="30"/>
      <c r="I515" s="30"/>
      <c r="J515" s="30" t="str">
        <f>IF(B515="","",IF('Cumulative Volumes Imperial'!$AQ$17=FALSE,L515,K515))</f>
        <v/>
      </c>
      <c r="K515" s="30"/>
      <c r="L515" s="30"/>
      <c r="M515" s="30" t="str">
        <f>IF($E$8+45+$E$9&gt;989,"FALSE",IF(B515="","",IF('Cumulative Volumes Imperial'!$AQ$17=FALSE,O515,N515)))</f>
        <v/>
      </c>
      <c r="N515" s="30"/>
      <c r="O515" s="30"/>
      <c r="P515" s="30" t="str">
        <f>IF(B515=0,"",(((1/12)*'Imperial Data'!$AC$4*'Imperial Data'!$AC$5)-C515)*$H$6)</f>
        <v/>
      </c>
      <c r="Q515" s="30"/>
      <c r="R515" s="30" t="str">
        <f>IF(B515=0,"",(((1/12)*'Imperial Data'!$AC$5*'Imperial Data'!$AC$7)-D515)*$H$6)</f>
        <v/>
      </c>
      <c r="S515" s="30"/>
      <c r="T515" s="30"/>
      <c r="U515" s="30"/>
      <c r="V515" s="30"/>
      <c r="W515" s="30" t="str">
        <f t="shared" si="70"/>
        <v/>
      </c>
      <c r="X515" s="31"/>
      <c r="Y515" s="30" t="str">
        <f t="shared" si="71"/>
        <v/>
      </c>
    </row>
    <row r="516" spans="2:25" x14ac:dyDescent="0.2">
      <c r="B516" s="34"/>
      <c r="C516" s="30" t="str">
        <f>IF(B516=0,"",IF('Imperial Data'!AG505&gt;=1, INDEX(Imperial_Incremental[], MATCH('Imperial Data'!AG505, Imperial_Incremental[Height], 1), MATCH('Cumulative Volumes Imperial'!$F$4, Imperial_Incremental[#Headers], 0)), 0))</f>
        <v/>
      </c>
      <c r="D516" s="30" t="str">
        <f>IF(B516=0,"",IF('Imperial Data'!AG505&gt;=1, INDEX(Imperial_Incremental[], MATCH('Imperial Data'!AG505, Imperial_Incremental[Height], 1), MATCH('Cumulative Volumes Imperial'!$F$4 &amp; "EC", Imperial_Incremental[#Headers], 0)), 0))</f>
        <v/>
      </c>
      <c r="E516" s="30"/>
      <c r="F516" s="30"/>
      <c r="G516" s="30"/>
      <c r="H516" s="30"/>
      <c r="I516" s="30"/>
      <c r="J516" s="30" t="str">
        <f>IF(B516="","",IF('Cumulative Volumes Imperial'!$AQ$17=FALSE,L516,K516))</f>
        <v/>
      </c>
      <c r="K516" s="30"/>
      <c r="L516" s="30"/>
      <c r="M516" s="30" t="str">
        <f>IF($E$8+45+$E$9&gt;989,"FALSE",IF(B516="","",IF('Cumulative Volumes Imperial'!$AQ$17=FALSE,O516,N516)))</f>
        <v/>
      </c>
      <c r="N516" s="30"/>
      <c r="O516" s="30"/>
      <c r="P516" s="30" t="str">
        <f>IF(B516=0,"",(((1/12)*'Imperial Data'!$AC$4*'Imperial Data'!$AC$5)-C516)*$H$6)</f>
        <v/>
      </c>
      <c r="Q516" s="30"/>
      <c r="R516" s="30" t="str">
        <f>IF(B516=0,"",(((1/12)*'Imperial Data'!$AC$5*'Imperial Data'!$AC$7)-D516)*$H$6)</f>
        <v/>
      </c>
      <c r="S516" s="30"/>
      <c r="T516" s="30"/>
      <c r="U516" s="30"/>
      <c r="V516" s="30"/>
      <c r="W516" s="30" t="str">
        <f t="shared" si="70"/>
        <v/>
      </c>
      <c r="X516" s="31"/>
      <c r="Y516" s="30" t="str">
        <f t="shared" si="71"/>
        <v/>
      </c>
    </row>
    <row r="517" spans="2:25" x14ac:dyDescent="0.2">
      <c r="B517" s="34"/>
      <c r="C517" s="30" t="str">
        <f>IF(B517=0,"",IF('Imperial Data'!AG506&gt;=1, INDEX(Imperial_Incremental[], MATCH('Imperial Data'!AG506, Imperial_Incremental[Height], 1), MATCH('Cumulative Volumes Imperial'!$F$4, Imperial_Incremental[#Headers], 0)), 0))</f>
        <v/>
      </c>
      <c r="D517" s="30" t="str">
        <f>IF(B517=0,"",IF('Imperial Data'!AG506&gt;=1, INDEX(Imperial_Incremental[], MATCH('Imperial Data'!AG506, Imperial_Incremental[Height], 1), MATCH('Cumulative Volumes Imperial'!$F$4 &amp; "EC", Imperial_Incremental[#Headers], 0)), 0))</f>
        <v/>
      </c>
      <c r="E517" s="30"/>
      <c r="F517" s="30"/>
      <c r="G517" s="30"/>
      <c r="H517" s="30"/>
      <c r="I517" s="30"/>
      <c r="J517" s="30" t="str">
        <f>IF(B517="","",IF('Cumulative Volumes Imperial'!$AQ$17=FALSE,L517,K517))</f>
        <v/>
      </c>
      <c r="K517" s="30"/>
      <c r="L517" s="30"/>
      <c r="M517" s="30" t="str">
        <f>IF($E$8+45+$E$9&gt;989,"FALSE",IF(B517="","",IF('Cumulative Volumes Imperial'!$AQ$17=FALSE,O517,N517)))</f>
        <v/>
      </c>
      <c r="N517" s="30"/>
      <c r="O517" s="30"/>
      <c r="P517" s="30" t="str">
        <f>IF(B517=0,"",(((1/12)*'Imperial Data'!$AC$4*'Imperial Data'!$AC$5)-C517)*$H$6)</f>
        <v/>
      </c>
      <c r="Q517" s="30"/>
      <c r="R517" s="30" t="str">
        <f>IF(B517=0,"",(((1/12)*'Imperial Data'!$AC$5*'Imperial Data'!$AC$7)-D517)*$H$6)</f>
        <v/>
      </c>
      <c r="S517" s="30"/>
      <c r="T517" s="30"/>
      <c r="U517" s="30"/>
      <c r="V517" s="30"/>
      <c r="W517" s="30" t="str">
        <f t="shared" si="70"/>
        <v/>
      </c>
      <c r="X517" s="31"/>
      <c r="Y517" s="30" t="str">
        <f t="shared" si="71"/>
        <v/>
      </c>
    </row>
    <row r="518" spans="2:25" x14ac:dyDescent="0.2">
      <c r="B518" s="34"/>
      <c r="C518" s="30" t="str">
        <f>IF(B518=0,"",IF('Imperial Data'!AG507&gt;=1, INDEX(Imperial_Incremental[], MATCH('Imperial Data'!AG507, Imperial_Incremental[Height], 1), MATCH('Cumulative Volumes Imperial'!$F$4, Imperial_Incremental[#Headers], 0)), 0))</f>
        <v/>
      </c>
      <c r="D518" s="30" t="str">
        <f>IF(B518=0,"",IF('Imperial Data'!AG507&gt;=1, INDEX(Imperial_Incremental[], MATCH('Imperial Data'!AG507, Imperial_Incremental[Height], 1), MATCH('Cumulative Volumes Imperial'!$F$4 &amp; "EC", Imperial_Incremental[#Headers], 0)), 0))</f>
        <v/>
      </c>
      <c r="E518" s="30"/>
      <c r="F518" s="30"/>
      <c r="G518" s="30"/>
      <c r="H518" s="30"/>
      <c r="I518" s="30"/>
      <c r="J518" s="30" t="str">
        <f>IF(B518="","",IF('Cumulative Volumes Imperial'!$AQ$17=FALSE,L518,K518))</f>
        <v/>
      </c>
      <c r="K518" s="30"/>
      <c r="L518" s="30"/>
      <c r="M518" s="30" t="str">
        <f>IF($E$8+45+$E$9&gt;989,"FALSE",IF(B518="","",IF('Cumulative Volumes Imperial'!$AQ$17=FALSE,O518,N518)))</f>
        <v/>
      </c>
      <c r="N518" s="30"/>
      <c r="O518" s="30"/>
      <c r="P518" s="30" t="str">
        <f>IF(B518=0,"",(((1/12)*'Imperial Data'!$AC$4*'Imperial Data'!$AC$5)-C518)*$H$6)</f>
        <v/>
      </c>
      <c r="Q518" s="30"/>
      <c r="R518" s="30" t="str">
        <f>IF(B518=0,"",(((1/12)*'Imperial Data'!$AC$5*'Imperial Data'!$AC$7)-D518)*$H$6)</f>
        <v/>
      </c>
      <c r="S518" s="30"/>
      <c r="T518" s="30"/>
      <c r="U518" s="30"/>
      <c r="V518" s="30"/>
      <c r="W518" s="30" t="str">
        <f t="shared" si="70"/>
        <v/>
      </c>
      <c r="X518" s="31"/>
      <c r="Y518" s="30" t="str">
        <f t="shared" si="71"/>
        <v/>
      </c>
    </row>
    <row r="519" spans="2:25" x14ac:dyDescent="0.2">
      <c r="B519" s="34"/>
      <c r="C519" s="30" t="str">
        <f>IF(B519=0,"",IF('Imperial Data'!AG508&gt;=1, INDEX(Imperial_Incremental[], MATCH('Imperial Data'!AG508, Imperial_Incremental[Height], 1), MATCH('Cumulative Volumes Imperial'!$F$4, Imperial_Incremental[#Headers], 0)), 0))</f>
        <v/>
      </c>
      <c r="D519" s="30" t="str">
        <f>IF(B519=0,"",IF('Imperial Data'!AG508&gt;=1, INDEX(Imperial_Incremental[], MATCH('Imperial Data'!AG508, Imperial_Incremental[Height], 1), MATCH('Cumulative Volumes Imperial'!$F$4 &amp; "EC", Imperial_Incremental[#Headers], 0)), 0))</f>
        <v/>
      </c>
      <c r="E519" s="30"/>
      <c r="F519" s="30"/>
      <c r="G519" s="30"/>
      <c r="H519" s="30"/>
      <c r="I519" s="30"/>
      <c r="J519" s="30" t="str">
        <f>IF(B519="","",IF('Cumulative Volumes Imperial'!$AQ$17=FALSE,L519,K519))</f>
        <v/>
      </c>
      <c r="K519" s="30"/>
      <c r="L519" s="30"/>
      <c r="M519" s="30" t="str">
        <f>IF($E$8+45+$E$9&gt;989,"FALSE",IF(B519="","",IF('Cumulative Volumes Imperial'!$AQ$17=FALSE,O519,N519)))</f>
        <v/>
      </c>
      <c r="N519" s="30"/>
      <c r="O519" s="30"/>
      <c r="P519" s="30" t="str">
        <f>IF(B519=0,"",(((1/12)*'Imperial Data'!$AC$4*'Imperial Data'!$AC$5)-C519)*$H$6)</f>
        <v/>
      </c>
      <c r="Q519" s="30"/>
      <c r="R519" s="30" t="str">
        <f>IF(B519=0,"",(((1/12)*'Imperial Data'!$AC$5*'Imperial Data'!$AC$7)-D519)*$H$6)</f>
        <v/>
      </c>
      <c r="S519" s="30"/>
      <c r="T519" s="30"/>
      <c r="U519" s="30"/>
      <c r="V519" s="30"/>
      <c r="W519" s="30" t="str">
        <f t="shared" si="70"/>
        <v/>
      </c>
      <c r="X519" s="31"/>
      <c r="Y519" s="30" t="str">
        <f t="shared" si="71"/>
        <v/>
      </c>
    </row>
    <row r="520" spans="2:25" x14ac:dyDescent="0.2">
      <c r="B520" s="34"/>
      <c r="C520" s="30" t="str">
        <f>IF(B520=0,"",IF('Imperial Data'!AG509&gt;=1, INDEX(Imperial_Incremental[], MATCH('Imperial Data'!AG509, Imperial_Incremental[Height], 1), MATCH('Cumulative Volumes Imperial'!$F$4, Imperial_Incremental[#Headers], 0)), 0))</f>
        <v/>
      </c>
      <c r="D520" s="30" t="str">
        <f>IF(B520=0,"",IF('Imperial Data'!AG509&gt;=1, INDEX(Imperial_Incremental[], MATCH('Imperial Data'!AG509, Imperial_Incremental[Height], 1), MATCH('Cumulative Volumes Imperial'!$F$4 &amp; "EC", Imperial_Incremental[#Headers], 0)), 0))</f>
        <v/>
      </c>
      <c r="E520" s="30"/>
      <c r="F520" s="30"/>
      <c r="G520" s="30"/>
      <c r="H520" s="30"/>
      <c r="I520" s="30"/>
      <c r="J520" s="30" t="str">
        <f>IF(B520="","",IF('Cumulative Volumes Imperial'!$AQ$17=FALSE,L520,K520))</f>
        <v/>
      </c>
      <c r="K520" s="30"/>
      <c r="L520" s="30"/>
      <c r="M520" s="30" t="str">
        <f>IF($E$8+45+$E$9&gt;989,"FALSE",IF(B520="","",IF('Cumulative Volumes Imperial'!$AQ$17=FALSE,O520,N520)))</f>
        <v/>
      </c>
      <c r="N520" s="30"/>
      <c r="O520" s="30"/>
      <c r="P520" s="30" t="str">
        <f>IF(B520=0,"",(((1/12)*'Imperial Data'!$AC$4*'Imperial Data'!$AC$5)-C520)*$H$6)</f>
        <v/>
      </c>
      <c r="Q520" s="30"/>
      <c r="R520" s="30" t="str">
        <f>IF(B520=0,"",(((1/12)*'Imperial Data'!$AC$5*'Imperial Data'!$AC$7)-D520)*$H$6)</f>
        <v/>
      </c>
      <c r="S520" s="30"/>
      <c r="T520" s="30"/>
      <c r="U520" s="30"/>
      <c r="V520" s="30"/>
      <c r="W520" s="30" t="str">
        <f t="shared" si="70"/>
        <v/>
      </c>
      <c r="X520" s="31"/>
      <c r="Y520" s="30" t="str">
        <f t="shared" si="71"/>
        <v/>
      </c>
    </row>
    <row r="521" spans="2:25" x14ac:dyDescent="0.2">
      <c r="B521" s="34"/>
      <c r="C521" s="30" t="str">
        <f>IF(B521=0,"",IF('Imperial Data'!AG510&gt;=1, INDEX(Imperial_Incremental[], MATCH('Imperial Data'!AG510, Imperial_Incremental[Height], 1), MATCH('Cumulative Volumes Imperial'!$F$4, Imperial_Incremental[#Headers], 0)), 0))</f>
        <v/>
      </c>
      <c r="D521" s="30" t="str">
        <f>IF(B521=0,"",IF('Imperial Data'!AG510&gt;=1, INDEX(Imperial_Incremental[], MATCH('Imperial Data'!AG510, Imperial_Incremental[Height], 1), MATCH('Cumulative Volumes Imperial'!$F$4 &amp; "EC", Imperial_Incremental[#Headers], 0)), 0))</f>
        <v/>
      </c>
      <c r="E521" s="30"/>
      <c r="F521" s="30"/>
      <c r="G521" s="30"/>
      <c r="H521" s="30"/>
      <c r="I521" s="30"/>
      <c r="J521" s="30" t="str">
        <f>IF(B521="","",IF('Cumulative Volumes Imperial'!$AQ$17=FALSE,L521,K521))</f>
        <v/>
      </c>
      <c r="K521" s="30"/>
      <c r="L521" s="30"/>
      <c r="M521" s="30" t="str">
        <f>IF($E$8+45+$E$9&gt;989,"FALSE",IF(B521="","",IF('Cumulative Volumes Imperial'!$AQ$17=FALSE,O521,N521)))</f>
        <v/>
      </c>
      <c r="N521" s="30"/>
      <c r="O521" s="30"/>
      <c r="P521" s="30" t="str">
        <f>IF(B521=0,"",(((1/12)*'Imperial Data'!$AC$4*'Imperial Data'!$AC$5)-C521)*$H$6)</f>
        <v/>
      </c>
      <c r="Q521" s="30"/>
      <c r="R521" s="30" t="str">
        <f>IF(B521=0,"",(((1/12)*'Imperial Data'!$AC$5*'Imperial Data'!$AC$7)-D521)*$H$6)</f>
        <v/>
      </c>
      <c r="S521" s="30"/>
      <c r="T521" s="30"/>
      <c r="U521" s="30"/>
      <c r="V521" s="30"/>
      <c r="W521" s="30" t="str">
        <f t="shared" si="70"/>
        <v/>
      </c>
      <c r="X521" s="31"/>
      <c r="Y521" s="30" t="str">
        <f t="shared" si="71"/>
        <v/>
      </c>
    </row>
    <row r="522" spans="2:25" x14ac:dyDescent="0.2">
      <c r="B522" s="34"/>
      <c r="C522" s="30" t="str">
        <f>IF(B522=0,"",IF('Imperial Data'!AG511&gt;=1, INDEX(Imperial_Incremental[], MATCH('Imperial Data'!AG511, Imperial_Incremental[Height], 1), MATCH('Cumulative Volumes Imperial'!$F$4, Imperial_Incremental[#Headers], 0)), 0))</f>
        <v/>
      </c>
      <c r="D522" s="30" t="str">
        <f>IF(B522=0,"",IF('Imperial Data'!AG511&gt;=1, INDEX(Imperial_Incremental[], MATCH('Imperial Data'!AG511, Imperial_Incremental[Height], 1), MATCH('Cumulative Volumes Imperial'!$F$4 &amp; "EC", Imperial_Incremental[#Headers], 0)), 0))</f>
        <v/>
      </c>
      <c r="E522" s="30"/>
      <c r="F522" s="30"/>
      <c r="G522" s="30"/>
      <c r="H522" s="30"/>
      <c r="I522" s="30"/>
      <c r="J522" s="30" t="str">
        <f>IF(B522="","",IF('Cumulative Volumes Imperial'!$AQ$17=FALSE,L522,K522))</f>
        <v/>
      </c>
      <c r="K522" s="30"/>
      <c r="L522" s="30"/>
      <c r="M522" s="30" t="str">
        <f>IF($E$8+45+$E$9&gt;989,"FALSE",IF(B522="","",IF('Cumulative Volumes Imperial'!$AQ$17=FALSE,O522,N522)))</f>
        <v/>
      </c>
      <c r="N522" s="30"/>
      <c r="O522" s="30"/>
      <c r="P522" s="30" t="str">
        <f>IF(B522=0,"",(((1/12)*'Imperial Data'!$AC$4*'Imperial Data'!$AC$5)-C522)*$H$6)</f>
        <v/>
      </c>
      <c r="Q522" s="30"/>
      <c r="R522" s="30" t="str">
        <f>IF(B522=0,"",(((1/12)*'Imperial Data'!$AC$5*'Imperial Data'!$AC$7)-D522)*$H$6)</f>
        <v/>
      </c>
      <c r="S522" s="30"/>
      <c r="T522" s="30"/>
      <c r="U522" s="30"/>
      <c r="V522" s="30"/>
      <c r="W522" s="30" t="str">
        <f t="shared" si="70"/>
        <v/>
      </c>
      <c r="X522" s="31"/>
      <c r="Y522" s="30" t="str">
        <f t="shared" si="71"/>
        <v/>
      </c>
    </row>
    <row r="523" spans="2:25" x14ac:dyDescent="0.2">
      <c r="B523" s="34"/>
      <c r="C523" s="30" t="str">
        <f>IF(B523=0,"",IF('Imperial Data'!AG512&gt;=1, INDEX(Imperial_Incremental[], MATCH('Imperial Data'!AG512, Imperial_Incremental[Height], 1), MATCH('Cumulative Volumes Imperial'!$F$4, Imperial_Incremental[#Headers], 0)), 0))</f>
        <v/>
      </c>
      <c r="D523" s="30" t="str">
        <f>IF(B523=0,"",IF('Imperial Data'!AG512&gt;=1, INDEX(Imperial_Incremental[], MATCH('Imperial Data'!AG512, Imperial_Incremental[Height], 1), MATCH('Cumulative Volumes Imperial'!$F$4 &amp; "EC", Imperial_Incremental[#Headers], 0)), 0))</f>
        <v/>
      </c>
      <c r="E523" s="30"/>
      <c r="F523" s="30"/>
      <c r="G523" s="30"/>
      <c r="H523" s="30"/>
      <c r="I523" s="30"/>
      <c r="J523" s="30" t="str">
        <f>IF(B523="","",IF('Cumulative Volumes Imperial'!$AQ$17=FALSE,L523,K523))</f>
        <v/>
      </c>
      <c r="K523" s="30"/>
      <c r="L523" s="30"/>
      <c r="M523" s="30" t="str">
        <f>IF($E$8+45+$E$9&gt;989,"FALSE",IF(B523="","",IF('Cumulative Volumes Imperial'!$AQ$17=FALSE,O523,N523)))</f>
        <v/>
      </c>
      <c r="N523" s="30"/>
      <c r="O523" s="30"/>
      <c r="P523" s="30" t="str">
        <f>IF(B523=0,"",(((1/12)*'Imperial Data'!$AC$4*'Imperial Data'!$AC$5)-C523)*$H$6)</f>
        <v/>
      </c>
      <c r="Q523" s="30"/>
      <c r="R523" s="30" t="str">
        <f>IF(B523=0,"",(((1/12)*'Imperial Data'!$AC$5*'Imperial Data'!$AC$7)-D523)*$H$6)</f>
        <v/>
      </c>
      <c r="S523" s="30"/>
      <c r="T523" s="30"/>
      <c r="U523" s="30"/>
      <c r="V523" s="30"/>
      <c r="W523" s="30" t="str">
        <f t="shared" si="70"/>
        <v/>
      </c>
      <c r="X523" s="31"/>
      <c r="Y523" s="30" t="str">
        <f t="shared" si="71"/>
        <v/>
      </c>
    </row>
    <row r="524" spans="2:25" x14ac:dyDescent="0.2">
      <c r="B524" s="34"/>
      <c r="C524" s="30" t="str">
        <f>IF(B524=0,"",IF('Imperial Data'!AG513&gt;=1, INDEX(Imperial_Incremental[], MATCH('Imperial Data'!AG513, Imperial_Incremental[Height], 1), MATCH('Cumulative Volumes Imperial'!$F$4, Imperial_Incremental[#Headers], 0)), 0))</f>
        <v/>
      </c>
      <c r="D524" s="30" t="str">
        <f>IF(B524=0,"",IF('Imperial Data'!AG513&gt;=1, INDEX(Imperial_Incremental[], MATCH('Imperial Data'!AG513, Imperial_Incremental[Height], 1), MATCH('Cumulative Volumes Imperial'!$F$4 &amp; "EC", Imperial_Incremental[#Headers], 0)), 0))</f>
        <v/>
      </c>
      <c r="E524" s="30"/>
      <c r="F524" s="30"/>
      <c r="G524" s="30"/>
      <c r="H524" s="30"/>
      <c r="I524" s="30"/>
      <c r="J524" s="30" t="str">
        <f>IF(B524="","",IF('Cumulative Volumes Imperial'!$AQ$17=FALSE,L524,K524))</f>
        <v/>
      </c>
      <c r="K524" s="30"/>
      <c r="L524" s="30"/>
      <c r="M524" s="30" t="str">
        <f>IF($E$8+45+$E$9&gt;989,"FALSE",IF(B524="","",IF('Cumulative Volumes Imperial'!$AQ$17=FALSE,O524,N524)))</f>
        <v/>
      </c>
      <c r="N524" s="30"/>
      <c r="O524" s="30"/>
      <c r="P524" s="30" t="str">
        <f>IF(B524=0,"",(((1/12)*'Imperial Data'!$AC$4*'Imperial Data'!$AC$5)-C524)*$H$6)</f>
        <v/>
      </c>
      <c r="Q524" s="30"/>
      <c r="R524" s="30" t="str">
        <f>IF(B524=0,"",(((1/12)*'Imperial Data'!$AC$5*'Imperial Data'!$AC$7)-D524)*$H$6)</f>
        <v/>
      </c>
      <c r="S524" s="30"/>
      <c r="T524" s="30"/>
      <c r="U524" s="30"/>
      <c r="V524" s="30"/>
      <c r="W524" s="30" t="str">
        <f t="shared" si="70"/>
        <v/>
      </c>
      <c r="X524" s="31"/>
      <c r="Y524" s="30" t="str">
        <f t="shared" si="71"/>
        <v/>
      </c>
    </row>
    <row r="525" spans="2:25" x14ac:dyDescent="0.2">
      <c r="B525" s="34"/>
      <c r="C525" s="30" t="str">
        <f>IF(B525=0,"",IF('Imperial Data'!AG514&gt;=1, INDEX(Imperial_Incremental[], MATCH('Imperial Data'!AG514, Imperial_Incremental[Height], 1), MATCH('Cumulative Volumes Imperial'!$F$4, Imperial_Incremental[#Headers], 0)), 0))</f>
        <v/>
      </c>
      <c r="D525" s="30" t="str">
        <f>IF(B525=0,"",IF('Imperial Data'!AG514&gt;=1, INDEX(Imperial_Incremental[], MATCH('Imperial Data'!AG514, Imperial_Incremental[Height], 1), MATCH('Cumulative Volumes Imperial'!$F$4 &amp; "EC", Imperial_Incremental[#Headers], 0)), 0))</f>
        <v/>
      </c>
      <c r="E525" s="30"/>
      <c r="F525" s="30"/>
      <c r="G525" s="30"/>
      <c r="H525" s="30"/>
      <c r="I525" s="30"/>
      <c r="J525" s="30" t="str">
        <f>IF(B525="","",IF('Cumulative Volumes Imperial'!$AQ$17=FALSE,L525,K525))</f>
        <v/>
      </c>
      <c r="K525" s="30"/>
      <c r="L525" s="30"/>
      <c r="M525" s="30" t="str">
        <f>IF($E$8+45+$E$9&gt;989,"FALSE",IF(B525="","",IF('Cumulative Volumes Imperial'!$AQ$17=FALSE,O525,N525)))</f>
        <v/>
      </c>
      <c r="N525" s="30"/>
      <c r="O525" s="30"/>
      <c r="P525" s="30" t="str">
        <f>IF(B525=0,"",(((1/12)*'Imperial Data'!$AC$4*'Imperial Data'!$AC$5)-C525)*$H$6)</f>
        <v/>
      </c>
      <c r="Q525" s="30"/>
      <c r="R525" s="30" t="str">
        <f>IF(B525=0,"",(((1/12)*'Imperial Data'!$AC$5*'Imperial Data'!$AC$7)-D525)*$H$6)</f>
        <v/>
      </c>
      <c r="S525" s="30"/>
      <c r="T525" s="30"/>
      <c r="U525" s="30"/>
      <c r="V525" s="30"/>
      <c r="W525" s="30" t="str">
        <f t="shared" si="70"/>
        <v/>
      </c>
      <c r="X525" s="31"/>
      <c r="Y525" s="30" t="str">
        <f t="shared" si="71"/>
        <v/>
      </c>
    </row>
    <row r="526" spans="2:25" x14ac:dyDescent="0.2">
      <c r="B526" s="34"/>
      <c r="C526" s="30" t="str">
        <f>IF(B526=0,"",IF('Imperial Data'!AG515&gt;=1, INDEX(Imperial_Incremental[], MATCH('Imperial Data'!AG515, Imperial_Incremental[Height], 1), MATCH('Cumulative Volumes Imperial'!$F$4, Imperial_Incremental[#Headers], 0)), 0))</f>
        <v/>
      </c>
      <c r="D526" s="30" t="str">
        <f>IF(B526=0,"",IF('Imperial Data'!AG515&gt;=1, INDEX(Imperial_Incremental[], MATCH('Imperial Data'!AG515, Imperial_Incremental[Height], 1), MATCH('Cumulative Volumes Imperial'!$F$4 &amp; "EC", Imperial_Incremental[#Headers], 0)), 0))</f>
        <v/>
      </c>
      <c r="E526" s="30"/>
      <c r="F526" s="30"/>
      <c r="G526" s="30"/>
      <c r="H526" s="30"/>
      <c r="I526" s="30"/>
      <c r="J526" s="30" t="str">
        <f>IF(B526="","",IF('Cumulative Volumes Imperial'!$AQ$17=FALSE,L526,K526))</f>
        <v/>
      </c>
      <c r="K526" s="30"/>
      <c r="L526" s="30"/>
      <c r="M526" s="30" t="str">
        <f>IF($E$8+45+$E$9&gt;989,"FALSE",IF(B526="","",IF('Cumulative Volumes Imperial'!$AQ$17=FALSE,O526,N526)))</f>
        <v/>
      </c>
      <c r="N526" s="30"/>
      <c r="O526" s="30"/>
      <c r="P526" s="30" t="str">
        <f>IF(B526=0,"",(((1/12)*'Imperial Data'!$AC$4*'Imperial Data'!$AC$5)-C526)*$H$6)</f>
        <v/>
      </c>
      <c r="Q526" s="30"/>
      <c r="R526" s="30" t="str">
        <f>IF(B526=0,"",(((1/12)*'Imperial Data'!$AC$5*'Imperial Data'!$AC$7)-D526)*$H$6)</f>
        <v/>
      </c>
      <c r="S526" s="30"/>
      <c r="T526" s="30"/>
      <c r="U526" s="30"/>
      <c r="V526" s="30"/>
      <c r="W526" s="30" t="str">
        <f t="shared" si="70"/>
        <v/>
      </c>
      <c r="X526" s="31"/>
      <c r="Y526" s="30" t="str">
        <f t="shared" si="71"/>
        <v/>
      </c>
    </row>
    <row r="527" spans="2:25" x14ac:dyDescent="0.2">
      <c r="B527" s="34"/>
      <c r="C527" s="30" t="str">
        <f>IF(B527=0,"",IF('Imperial Data'!AG516&gt;=1, INDEX(Imperial_Incremental[], MATCH('Imperial Data'!AG516, Imperial_Incremental[Height], 1), MATCH('Cumulative Volumes Imperial'!$F$4, Imperial_Incremental[#Headers], 0)), 0))</f>
        <v/>
      </c>
      <c r="D527" s="30" t="str">
        <f>IF(B527=0,"",IF('Imperial Data'!AG516&gt;=1, INDEX(Imperial_Incremental[], MATCH('Imperial Data'!AG516, Imperial_Incremental[Height], 1), MATCH('Cumulative Volumes Imperial'!$F$4 &amp; "EC", Imperial_Incremental[#Headers], 0)), 0))</f>
        <v/>
      </c>
      <c r="E527" s="30"/>
      <c r="F527" s="30"/>
      <c r="G527" s="30"/>
      <c r="H527" s="30"/>
      <c r="I527" s="30"/>
      <c r="J527" s="30" t="str">
        <f>IF(B527="","",IF('Cumulative Volumes Imperial'!$AQ$17=FALSE,L527,K527))</f>
        <v/>
      </c>
      <c r="K527" s="30"/>
      <c r="L527" s="30"/>
      <c r="M527" s="30"/>
      <c r="N527" s="30"/>
      <c r="O527" s="30"/>
      <c r="P527" s="30" t="str">
        <f>IF(B527=0,"",(((1/12)*'Imperial Data'!$AC$4*'Imperial Data'!$AC$5)-C527)*$H$6)</f>
        <v/>
      </c>
      <c r="Q527" s="30"/>
      <c r="R527" s="30" t="str">
        <f>IF(B527=0,"",(((1/12)*'Imperial Data'!$AC$5*'Imperial Data'!$AC$7)-D527)*$H$6)</f>
        <v/>
      </c>
      <c r="S527" s="30"/>
      <c r="T527" s="30"/>
      <c r="U527" s="30"/>
      <c r="V527" s="30"/>
      <c r="W527" s="30" t="str">
        <f t="shared" ref="W527:W590" si="72">IF(B527=0,"",IF(B527=1,D527+R527,W528+D527+R527))</f>
        <v/>
      </c>
      <c r="X527" s="31"/>
      <c r="Y527" s="30" t="str">
        <f t="shared" ref="Y527:Y590" si="73">IF(B527=0,"",$E$7+B527/12)</f>
        <v/>
      </c>
    </row>
    <row r="528" spans="2:25" x14ac:dyDescent="0.2">
      <c r="B528" s="34"/>
      <c r="C528" s="30" t="str">
        <f>IF(B528=0,"",IF('Imperial Data'!AG517&gt;=1, INDEX(Imperial_Incremental[], MATCH('Imperial Data'!AG517, Imperial_Incremental[Height], 1), MATCH('Cumulative Volumes Imperial'!$F$4, Imperial_Incremental[#Headers], 0)), 0))</f>
        <v/>
      </c>
      <c r="D528" s="30" t="str">
        <f>IF(B528=0,"",IF('Imperial Data'!AG517&gt;=1, INDEX(Imperial_Incremental[], MATCH('Imperial Data'!AG517, Imperial_Incremental[Height], 1), MATCH('Cumulative Volumes Imperial'!$F$4 &amp; "EC", Imperial_Incremental[#Headers], 0)), 0))</f>
        <v/>
      </c>
      <c r="E528" s="30"/>
      <c r="F528" s="30"/>
      <c r="G528" s="30"/>
      <c r="H528" s="30"/>
      <c r="I528" s="30"/>
      <c r="J528" s="30" t="str">
        <f>IF(B528="","",IF('Cumulative Volumes Imperial'!$AQ$17=FALSE,L528,K528))</f>
        <v/>
      </c>
      <c r="K528" s="30"/>
      <c r="L528" s="30"/>
      <c r="M528" s="30"/>
      <c r="N528" s="30"/>
      <c r="O528" s="30"/>
      <c r="P528" s="30" t="str">
        <f>IF(B528=0,"",(((1/12)*'Imperial Data'!$AC$4*'Imperial Data'!$AC$5)-C528)*$H$6)</f>
        <v/>
      </c>
      <c r="Q528" s="30"/>
      <c r="R528" s="30" t="str">
        <f>IF(B528=0,"",(((1/12)*'Imperial Data'!$AC$5*'Imperial Data'!$AC$7)-D528)*$H$6)</f>
        <v/>
      </c>
      <c r="S528" s="30"/>
      <c r="T528" s="30"/>
      <c r="U528" s="30"/>
      <c r="V528" s="30"/>
      <c r="W528" s="30" t="str">
        <f t="shared" si="72"/>
        <v/>
      </c>
      <c r="X528" s="31"/>
      <c r="Y528" s="30" t="str">
        <f t="shared" si="73"/>
        <v/>
      </c>
    </row>
    <row r="529" spans="2:25" x14ac:dyDescent="0.2">
      <c r="B529" s="34"/>
      <c r="C529" s="30" t="str">
        <f>IF(B529=0,"",IF('Imperial Data'!AG518&gt;=1, INDEX(Imperial_Incremental[], MATCH('Imperial Data'!AG518, Imperial_Incremental[Height], 1), MATCH('Cumulative Volumes Imperial'!$F$4, Imperial_Incremental[#Headers], 0)), 0))</f>
        <v/>
      </c>
      <c r="D529" s="30" t="str">
        <f>IF(B529=0,"",IF('Imperial Data'!AG518&gt;=1, INDEX(Imperial_Incremental[], MATCH('Imperial Data'!AG518, Imperial_Incremental[Height], 1), MATCH('Cumulative Volumes Imperial'!$F$4 &amp; "EC", Imperial_Incremental[#Headers], 0)), 0))</f>
        <v/>
      </c>
      <c r="E529" s="30"/>
      <c r="F529" s="30"/>
      <c r="G529" s="30"/>
      <c r="H529" s="30"/>
      <c r="I529" s="30"/>
      <c r="J529" s="30" t="str">
        <f>IF(B529="","",IF('Cumulative Volumes Imperial'!$AQ$17=FALSE,L529,K529))</f>
        <v/>
      </c>
      <c r="K529" s="30"/>
      <c r="L529" s="30"/>
      <c r="M529" s="30"/>
      <c r="N529" s="30"/>
      <c r="O529" s="30"/>
      <c r="P529" s="30" t="str">
        <f>IF(B529=0,"",(((1/12)*'Imperial Data'!$AC$4*'Imperial Data'!$AC$5)-C529)*$H$6)</f>
        <v/>
      </c>
      <c r="Q529" s="30"/>
      <c r="R529" s="30" t="str">
        <f>IF(B529=0,"",(((1/12)*'Imperial Data'!$AC$5*'Imperial Data'!$AC$7)-D529)*$H$6)</f>
        <v/>
      </c>
      <c r="S529" s="30"/>
      <c r="T529" s="30"/>
      <c r="U529" s="30"/>
      <c r="V529" s="30"/>
      <c r="W529" s="30" t="str">
        <f t="shared" si="72"/>
        <v/>
      </c>
      <c r="X529" s="31"/>
      <c r="Y529" s="30" t="str">
        <f t="shared" si="73"/>
        <v/>
      </c>
    </row>
    <row r="530" spans="2:25" x14ac:dyDescent="0.2">
      <c r="B530" s="34"/>
      <c r="C530" s="30" t="str">
        <f>IF(B530=0,"",IF('Imperial Data'!AG519&gt;=1, INDEX(Imperial_Incremental[], MATCH('Imperial Data'!AG519, Imperial_Incremental[Height], 1), MATCH('Cumulative Volumes Imperial'!$F$4, Imperial_Incremental[#Headers], 0)), 0))</f>
        <v/>
      </c>
      <c r="D530" s="30" t="str">
        <f>IF(B530=0,"",IF('Imperial Data'!AG519&gt;=1, INDEX(Imperial_Incremental[], MATCH('Imperial Data'!AG519, Imperial_Incremental[Height], 1), MATCH('Cumulative Volumes Imperial'!$F$4 &amp; "EC", Imperial_Incremental[#Headers], 0)), 0))</f>
        <v/>
      </c>
      <c r="E530" s="30"/>
      <c r="F530" s="30"/>
      <c r="G530" s="30"/>
      <c r="H530" s="30"/>
      <c r="I530" s="30"/>
      <c r="J530" s="30" t="str">
        <f>IF(B530="","",IF('Cumulative Volumes Imperial'!$AQ$17=FALSE,L530,K530))</f>
        <v/>
      </c>
      <c r="K530" s="30"/>
      <c r="L530" s="30"/>
      <c r="M530" s="30"/>
      <c r="N530" s="30"/>
      <c r="O530" s="30"/>
      <c r="P530" s="30" t="str">
        <f>IF(B530=0,"",(((1/12)*'Imperial Data'!$AC$4*'Imperial Data'!$AC$5)-C530)*$H$6)</f>
        <v/>
      </c>
      <c r="Q530" s="30"/>
      <c r="R530" s="30" t="str">
        <f>IF(B530=0,"",(((1/12)*'Imperial Data'!$AC$5*'Imperial Data'!$AC$7)-D530)*$H$6)</f>
        <v/>
      </c>
      <c r="S530" s="30"/>
      <c r="T530" s="30"/>
      <c r="U530" s="30"/>
      <c r="V530" s="30"/>
      <c r="W530" s="30" t="str">
        <f t="shared" si="72"/>
        <v/>
      </c>
      <c r="X530" s="31"/>
      <c r="Y530" s="30" t="str">
        <f t="shared" si="73"/>
        <v/>
      </c>
    </row>
    <row r="531" spans="2:25" x14ac:dyDescent="0.2">
      <c r="B531" s="34"/>
      <c r="C531" s="30" t="str">
        <f>IF(B531=0,"",IF('Imperial Data'!AG520&gt;=1, INDEX(Imperial_Incremental[], MATCH('Imperial Data'!AG520, Imperial_Incremental[Height], 1), MATCH('Cumulative Volumes Imperial'!$F$4, Imperial_Incremental[#Headers], 0)), 0))</f>
        <v/>
      </c>
      <c r="D531" s="30" t="str">
        <f>IF(B531=0,"",IF('Imperial Data'!AG520&gt;=1, INDEX(Imperial_Incremental[], MATCH('Imperial Data'!AG520, Imperial_Incremental[Height], 1), MATCH('Cumulative Volumes Imperial'!$F$4 &amp; "EC", Imperial_Incremental[#Headers], 0)), 0))</f>
        <v/>
      </c>
      <c r="E531" s="30"/>
      <c r="F531" s="30"/>
      <c r="G531" s="30"/>
      <c r="H531" s="30"/>
      <c r="I531" s="30"/>
      <c r="J531" s="30" t="str">
        <f>IF(B531="","",IF('Cumulative Volumes Imperial'!$AQ$17=FALSE,L531,K531))</f>
        <v/>
      </c>
      <c r="K531" s="30"/>
      <c r="L531" s="30"/>
      <c r="M531" s="30"/>
      <c r="N531" s="30"/>
      <c r="O531" s="30"/>
      <c r="P531" s="30" t="str">
        <f>IF(B531=0,"",(((1/12)*'Imperial Data'!$AC$4*'Imperial Data'!$AC$5)-C531)*$H$6)</f>
        <v/>
      </c>
      <c r="Q531" s="30"/>
      <c r="R531" s="30" t="str">
        <f>IF(B531=0,"",(((1/12)*'Imperial Data'!$AC$5*'Imperial Data'!$AC$7)-D531)*$H$6)</f>
        <v/>
      </c>
      <c r="S531" s="30"/>
      <c r="T531" s="30"/>
      <c r="U531" s="30"/>
      <c r="V531" s="30"/>
      <c r="W531" s="30" t="str">
        <f t="shared" si="72"/>
        <v/>
      </c>
      <c r="X531" s="31"/>
      <c r="Y531" s="30" t="str">
        <f t="shared" si="73"/>
        <v/>
      </c>
    </row>
    <row r="532" spans="2:25" x14ac:dyDescent="0.2">
      <c r="B532" s="34"/>
      <c r="C532" s="30" t="str">
        <f>IF(B532=0,"",IF('Imperial Data'!AG521&gt;=1, INDEX(Imperial_Incremental[], MATCH('Imperial Data'!AG521, Imperial_Incremental[Height], 1), MATCH('Cumulative Volumes Imperial'!$F$4, Imperial_Incremental[#Headers], 0)), 0))</f>
        <v/>
      </c>
      <c r="D532" s="30" t="str">
        <f>IF(B532=0,"",IF('Imperial Data'!AG521&gt;=1, INDEX(Imperial_Incremental[], MATCH('Imperial Data'!AG521, Imperial_Incremental[Height], 1), MATCH('Cumulative Volumes Imperial'!$F$4 &amp; "EC", Imperial_Incremental[#Headers], 0)), 0))</f>
        <v/>
      </c>
      <c r="E532" s="30"/>
      <c r="F532" s="30"/>
      <c r="G532" s="30"/>
      <c r="H532" s="30"/>
      <c r="I532" s="30"/>
      <c r="J532" s="30" t="str">
        <f>IF(B532="","",IF('Cumulative Volumes Imperial'!$AQ$17=FALSE,L532,K532))</f>
        <v/>
      </c>
      <c r="K532" s="30"/>
      <c r="L532" s="30"/>
      <c r="M532" s="30"/>
      <c r="N532" s="30"/>
      <c r="O532" s="30"/>
      <c r="P532" s="30" t="str">
        <f>IF(B532=0,"",(((1/12)*'Imperial Data'!$AC$4*'Imperial Data'!$AC$5)-C532)*$H$6)</f>
        <v/>
      </c>
      <c r="Q532" s="30"/>
      <c r="R532" s="30" t="str">
        <f>IF(B532=0,"",(((1/12)*'Imperial Data'!$AC$5*'Imperial Data'!$AC$7)-D532)*$H$6)</f>
        <v/>
      </c>
      <c r="S532" s="30"/>
      <c r="T532" s="30"/>
      <c r="U532" s="30"/>
      <c r="V532" s="30"/>
      <c r="W532" s="30" t="str">
        <f t="shared" si="72"/>
        <v/>
      </c>
      <c r="X532" s="31"/>
      <c r="Y532" s="30" t="str">
        <f t="shared" si="73"/>
        <v/>
      </c>
    </row>
    <row r="533" spans="2:25" x14ac:dyDescent="0.2">
      <c r="B533" s="34"/>
      <c r="C533" s="30" t="str">
        <f>IF(B533=0,"",IF('Imperial Data'!AG522&gt;=1, INDEX(Imperial_Incremental[], MATCH('Imperial Data'!AG522, Imperial_Incremental[Height], 1), MATCH('Cumulative Volumes Imperial'!$F$4, Imperial_Incremental[#Headers], 0)), 0))</f>
        <v/>
      </c>
      <c r="D533" s="30" t="str">
        <f>IF(B533=0,"",IF('Imperial Data'!AG522&gt;=1, INDEX(Imperial_Incremental[], MATCH('Imperial Data'!AG522, Imperial_Incremental[Height], 1), MATCH('Cumulative Volumes Imperial'!$F$4 &amp; "EC", Imperial_Incremental[#Headers], 0)), 0))</f>
        <v/>
      </c>
      <c r="E533" s="30"/>
      <c r="F533" s="30"/>
      <c r="G533" s="30"/>
      <c r="H533" s="30"/>
      <c r="I533" s="30"/>
      <c r="J533" s="30" t="str">
        <f>IF(B533="","",IF('Cumulative Volumes Imperial'!$AQ$17=FALSE,L533,K533))</f>
        <v/>
      </c>
      <c r="K533" s="30"/>
      <c r="L533" s="30"/>
      <c r="M533" s="30"/>
      <c r="N533" s="30"/>
      <c r="O533" s="30"/>
      <c r="P533" s="30" t="str">
        <f>IF(B533=0,"",(((1/12)*'Imperial Data'!$AC$4*'Imperial Data'!$AC$5)-C533)*$H$6)</f>
        <v/>
      </c>
      <c r="Q533" s="30"/>
      <c r="R533" s="30" t="str">
        <f>IF(B533=0,"",(((1/12)*'Imperial Data'!$AC$5*'Imperial Data'!$AC$7)-D533)*$H$6)</f>
        <v/>
      </c>
      <c r="S533" s="30"/>
      <c r="T533" s="30"/>
      <c r="U533" s="30"/>
      <c r="V533" s="30"/>
      <c r="W533" s="30" t="str">
        <f t="shared" si="72"/>
        <v/>
      </c>
      <c r="X533" s="31"/>
      <c r="Y533" s="30" t="str">
        <f t="shared" si="73"/>
        <v/>
      </c>
    </row>
    <row r="534" spans="2:25" x14ac:dyDescent="0.2">
      <c r="B534" s="34"/>
      <c r="C534" s="30" t="str">
        <f>IF(B534=0,"",IF('Imperial Data'!AG523&gt;=1, INDEX(Imperial_Incremental[], MATCH('Imperial Data'!AG523, Imperial_Incremental[Height], 1), MATCH('Cumulative Volumes Imperial'!$F$4, Imperial_Incremental[#Headers], 0)), 0))</f>
        <v/>
      </c>
      <c r="D534" s="30" t="str">
        <f>IF(B534=0,"",IF('Imperial Data'!AG523&gt;=1, INDEX(Imperial_Incremental[], MATCH('Imperial Data'!AG523, Imperial_Incremental[Height], 1), MATCH('Cumulative Volumes Imperial'!$F$4 &amp; "EC", Imperial_Incremental[#Headers], 0)), 0))</f>
        <v/>
      </c>
      <c r="E534" s="30"/>
      <c r="F534" s="30"/>
      <c r="G534" s="30"/>
      <c r="H534" s="30"/>
      <c r="I534" s="30"/>
      <c r="J534" s="30" t="str">
        <f>IF(B534="","",IF('Cumulative Volumes Imperial'!$AQ$17=FALSE,L534,K534))</f>
        <v/>
      </c>
      <c r="K534" s="30"/>
      <c r="L534" s="30"/>
      <c r="M534" s="30"/>
      <c r="N534" s="30"/>
      <c r="O534" s="30"/>
      <c r="P534" s="30" t="str">
        <f>IF(B534=0,"",(((1/12)*'Imperial Data'!$AC$4*'Imperial Data'!$AC$5)-C534)*$H$6)</f>
        <v/>
      </c>
      <c r="Q534" s="30"/>
      <c r="R534" s="30" t="str">
        <f>IF(B534=0,"",(((1/12)*'Imperial Data'!$AC$5*'Imperial Data'!$AC$7)-D534)*$H$6)</f>
        <v/>
      </c>
      <c r="S534" s="30"/>
      <c r="T534" s="30"/>
      <c r="U534" s="30"/>
      <c r="V534" s="30"/>
      <c r="W534" s="30" t="str">
        <f t="shared" si="72"/>
        <v/>
      </c>
      <c r="X534" s="31"/>
      <c r="Y534" s="30" t="str">
        <f t="shared" si="73"/>
        <v/>
      </c>
    </row>
    <row r="535" spans="2:25" x14ac:dyDescent="0.2">
      <c r="B535" s="34"/>
      <c r="C535" s="30" t="str">
        <f>IF(B535=0,"",IF('Imperial Data'!AG524&gt;=1, INDEX(Imperial_Incremental[], MATCH('Imperial Data'!AG524, Imperial_Incremental[Height], 1), MATCH('Cumulative Volumes Imperial'!$F$4, Imperial_Incremental[#Headers], 0)), 0))</f>
        <v/>
      </c>
      <c r="D535" s="30" t="str">
        <f>IF(B535=0,"",IF('Imperial Data'!AG524&gt;=1, INDEX(Imperial_Incremental[], MATCH('Imperial Data'!AG524, Imperial_Incremental[Height], 1), MATCH('Cumulative Volumes Imperial'!$F$4 &amp; "EC", Imperial_Incremental[#Headers], 0)), 0))</f>
        <v/>
      </c>
      <c r="E535" s="30"/>
      <c r="F535" s="30"/>
      <c r="G535" s="30"/>
      <c r="H535" s="30"/>
      <c r="I535" s="30"/>
      <c r="J535" s="30" t="str">
        <f>IF(B535="","",IF('Cumulative Volumes Imperial'!$AQ$17=FALSE,L535,K535))</f>
        <v/>
      </c>
      <c r="K535" s="30"/>
      <c r="L535" s="30"/>
      <c r="M535" s="30"/>
      <c r="N535" s="30"/>
      <c r="O535" s="30"/>
      <c r="P535" s="30" t="str">
        <f>IF(B535=0,"",(((1/12)*'Imperial Data'!$AC$4*'Imperial Data'!$AC$5)-C535)*$H$6)</f>
        <v/>
      </c>
      <c r="Q535" s="30"/>
      <c r="R535" s="30" t="str">
        <f>IF(B535=0,"",(((1/12)*'Imperial Data'!$AC$5*'Imperial Data'!$AC$7)-D535)*$H$6)</f>
        <v/>
      </c>
      <c r="S535" s="30"/>
      <c r="T535" s="30"/>
      <c r="U535" s="30"/>
      <c r="V535" s="30"/>
      <c r="W535" s="30" t="str">
        <f t="shared" si="72"/>
        <v/>
      </c>
      <c r="X535" s="31"/>
      <c r="Y535" s="30" t="str">
        <f t="shared" si="73"/>
        <v/>
      </c>
    </row>
    <row r="536" spans="2:25" x14ac:dyDescent="0.2">
      <c r="B536" s="34"/>
      <c r="C536" s="30" t="str">
        <f>IF(B536=0,"",IF('Imperial Data'!AG525&gt;=1, INDEX(Imperial_Incremental[], MATCH('Imperial Data'!AG525, Imperial_Incremental[Height], 1), MATCH('Cumulative Volumes Imperial'!$F$4, Imperial_Incremental[#Headers], 0)), 0))</f>
        <v/>
      </c>
      <c r="D536" s="30" t="str">
        <f>IF(B536=0,"",IF('Imperial Data'!AG525&gt;=1, INDEX(Imperial_Incremental[], MATCH('Imperial Data'!AG525, Imperial_Incremental[Height], 1), MATCH('Cumulative Volumes Imperial'!$F$4 &amp; "EC", Imperial_Incremental[#Headers], 0)), 0))</f>
        <v/>
      </c>
      <c r="E536" s="30"/>
      <c r="F536" s="30"/>
      <c r="G536" s="30"/>
      <c r="H536" s="30"/>
      <c r="I536" s="30"/>
      <c r="J536" s="30" t="str">
        <f>IF(B536="","",IF('Cumulative Volumes Imperial'!$AQ$17=FALSE,L536,K536))</f>
        <v/>
      </c>
      <c r="K536" s="30"/>
      <c r="L536" s="30"/>
      <c r="M536" s="30"/>
      <c r="N536" s="30"/>
      <c r="O536" s="30"/>
      <c r="P536" s="30" t="str">
        <f>IF(B536=0,"",(((1/12)*'Imperial Data'!$AC$4*'Imperial Data'!$AC$5)-C536)*$H$6)</f>
        <v/>
      </c>
      <c r="Q536" s="30"/>
      <c r="R536" s="30" t="str">
        <f>IF(B536=0,"",(((1/12)*'Imperial Data'!$AC$5*'Imperial Data'!$AC$7)-D536)*$H$6)</f>
        <v/>
      </c>
      <c r="S536" s="30"/>
      <c r="T536" s="30"/>
      <c r="U536" s="30"/>
      <c r="V536" s="30"/>
      <c r="W536" s="30" t="str">
        <f t="shared" si="72"/>
        <v/>
      </c>
      <c r="X536" s="31"/>
      <c r="Y536" s="30" t="str">
        <f t="shared" si="73"/>
        <v/>
      </c>
    </row>
    <row r="537" spans="2:25" x14ac:dyDescent="0.2">
      <c r="B537" s="34"/>
      <c r="C537" s="30" t="str">
        <f>IF(B537=0,"",IF('Imperial Data'!AG526&gt;=1, INDEX(Imperial_Incremental[], MATCH('Imperial Data'!AG526, Imperial_Incremental[Height], 1), MATCH('Cumulative Volumes Imperial'!$F$4, Imperial_Incremental[#Headers], 0)), 0))</f>
        <v/>
      </c>
      <c r="D537" s="30" t="str">
        <f>IF(B537=0,"",IF('Imperial Data'!AG526&gt;=1, INDEX(Imperial_Incremental[], MATCH('Imperial Data'!AG526, Imperial_Incremental[Height], 1), MATCH('Cumulative Volumes Imperial'!$F$4 &amp; "EC", Imperial_Incremental[#Headers], 0)), 0))</f>
        <v/>
      </c>
      <c r="E537" s="30"/>
      <c r="F537" s="30"/>
      <c r="G537" s="30"/>
      <c r="H537" s="30"/>
      <c r="I537" s="30"/>
      <c r="J537" s="30" t="str">
        <f>IF(B537="","",IF('Cumulative Volumes Imperial'!$AQ$17=FALSE,L537,K537))</f>
        <v/>
      </c>
      <c r="K537" s="30"/>
      <c r="L537" s="30"/>
      <c r="M537" s="30"/>
      <c r="N537" s="30"/>
      <c r="O537" s="30"/>
      <c r="P537" s="30" t="str">
        <f>IF(B537=0,"",(((1/12)*'Imperial Data'!$AC$4*'Imperial Data'!$AC$5)-C537)*$H$6)</f>
        <v/>
      </c>
      <c r="Q537" s="30"/>
      <c r="R537" s="30" t="str">
        <f>IF(B537=0,"",(((1/12)*'Imperial Data'!$AC$5*'Imperial Data'!$AC$7)-D537)*$H$6)</f>
        <v/>
      </c>
      <c r="S537" s="30"/>
      <c r="T537" s="30"/>
      <c r="U537" s="30"/>
      <c r="V537" s="30"/>
      <c r="W537" s="30" t="str">
        <f t="shared" si="72"/>
        <v/>
      </c>
      <c r="X537" s="31"/>
      <c r="Y537" s="30" t="str">
        <f t="shared" si="73"/>
        <v/>
      </c>
    </row>
    <row r="538" spans="2:25" x14ac:dyDescent="0.2">
      <c r="B538" s="34"/>
      <c r="C538" s="30" t="str">
        <f>IF(B538=0,"",IF('Imperial Data'!AG527&gt;=1, INDEX(Imperial_Incremental[], MATCH('Imperial Data'!AG527, Imperial_Incremental[Height], 1), MATCH('Cumulative Volumes Imperial'!$F$4, Imperial_Incremental[#Headers], 0)), 0))</f>
        <v/>
      </c>
      <c r="D538" s="30" t="str">
        <f>IF(B538=0,"",IF('Imperial Data'!AG527&gt;=1, INDEX(Imperial_Incremental[], MATCH('Imperial Data'!AG527, Imperial_Incremental[Height], 1), MATCH('Cumulative Volumes Imperial'!$F$4 &amp; "EC", Imperial_Incremental[#Headers], 0)), 0))</f>
        <v/>
      </c>
      <c r="E538" s="30"/>
      <c r="F538" s="30"/>
      <c r="G538" s="30"/>
      <c r="H538" s="30"/>
      <c r="I538" s="30"/>
      <c r="J538" s="30" t="str">
        <f>IF(B538="","",IF('Cumulative Volumes Imperial'!$AQ$17=FALSE,L538,K538))</f>
        <v/>
      </c>
      <c r="K538" s="30"/>
      <c r="L538" s="30"/>
      <c r="M538" s="30"/>
      <c r="N538" s="30"/>
      <c r="O538" s="30"/>
      <c r="P538" s="30" t="str">
        <f>IF(B538=0,"",(((1/12)*'Imperial Data'!$AC$4*'Imperial Data'!$AC$5)-C538)*$H$6)</f>
        <v/>
      </c>
      <c r="Q538" s="30"/>
      <c r="R538" s="30" t="str">
        <f>IF(B538=0,"",(((1/12)*'Imperial Data'!$AC$5*'Imperial Data'!$AC$7)-D538)*$H$6)</f>
        <v/>
      </c>
      <c r="S538" s="30"/>
      <c r="T538" s="30"/>
      <c r="U538" s="30"/>
      <c r="V538" s="30"/>
      <c r="W538" s="30" t="str">
        <f t="shared" si="72"/>
        <v/>
      </c>
      <c r="X538" s="31"/>
      <c r="Y538" s="30" t="str">
        <f t="shared" si="73"/>
        <v/>
      </c>
    </row>
    <row r="539" spans="2:25" x14ac:dyDescent="0.2">
      <c r="B539" s="34"/>
      <c r="C539" s="30" t="str">
        <f>IF(B539=0,"",IF('Imperial Data'!AG528&gt;=1, INDEX(Imperial_Incremental[], MATCH('Imperial Data'!AG528, Imperial_Incremental[Height], 1), MATCH('Cumulative Volumes Imperial'!$F$4, Imperial_Incremental[#Headers], 0)), 0))</f>
        <v/>
      </c>
      <c r="D539" s="30" t="str">
        <f>IF(B539=0,"",IF('Imperial Data'!AG528&gt;=1, INDEX(Imperial_Incremental[], MATCH('Imperial Data'!AG528, Imperial_Incremental[Height], 1), MATCH('Cumulative Volumes Imperial'!$F$4 &amp; "EC", Imperial_Incremental[#Headers], 0)), 0))</f>
        <v/>
      </c>
      <c r="E539" s="30"/>
      <c r="F539" s="30"/>
      <c r="G539" s="30"/>
      <c r="H539" s="30"/>
      <c r="I539" s="30"/>
      <c r="J539" s="30" t="str">
        <f>IF(B539="","",IF('Cumulative Volumes Imperial'!$AQ$17=FALSE,L539,K539))</f>
        <v/>
      </c>
      <c r="K539" s="30"/>
      <c r="L539" s="30"/>
      <c r="M539" s="30"/>
      <c r="N539" s="30"/>
      <c r="O539" s="30"/>
      <c r="P539" s="30" t="str">
        <f>IF(B539=0,"",(((1/12)*'Imperial Data'!$AC$4*'Imperial Data'!$AC$5)-C539)*$H$6)</f>
        <v/>
      </c>
      <c r="Q539" s="30"/>
      <c r="R539" s="30" t="str">
        <f>IF(B539=0,"",(((1/12)*'Imperial Data'!$AC$5*'Imperial Data'!$AC$7)-D539)*$H$6)</f>
        <v/>
      </c>
      <c r="S539" s="30"/>
      <c r="T539" s="30"/>
      <c r="U539" s="30"/>
      <c r="V539" s="30"/>
      <c r="W539" s="30" t="str">
        <f t="shared" si="72"/>
        <v/>
      </c>
      <c r="X539" s="31"/>
      <c r="Y539" s="30" t="str">
        <f t="shared" si="73"/>
        <v/>
      </c>
    </row>
    <row r="540" spans="2:25" x14ac:dyDescent="0.2">
      <c r="B540" s="34"/>
      <c r="C540" s="30" t="str">
        <f>IF(B540=0,"",IF('Imperial Data'!AG529&gt;=1, INDEX(Imperial_Incremental[], MATCH('Imperial Data'!AG529, Imperial_Incremental[Height], 1), MATCH('Cumulative Volumes Imperial'!$F$4, Imperial_Incremental[#Headers], 0)), 0))</f>
        <v/>
      </c>
      <c r="D540" s="30" t="str">
        <f>IF(B540=0,"",IF('Imperial Data'!AG529&gt;=1, INDEX(Imperial_Incremental[], MATCH('Imperial Data'!AG529, Imperial_Incremental[Height], 1), MATCH('Cumulative Volumes Imperial'!$F$4 &amp; "EC", Imperial_Incremental[#Headers], 0)), 0))</f>
        <v/>
      </c>
      <c r="E540" s="30"/>
      <c r="F540" s="30"/>
      <c r="G540" s="30"/>
      <c r="H540" s="30"/>
      <c r="I540" s="30"/>
      <c r="J540" s="30" t="str">
        <f>IF(B540="","",IF('Cumulative Volumes Imperial'!$AQ$17=FALSE,L540,K540))</f>
        <v/>
      </c>
      <c r="K540" s="30"/>
      <c r="L540" s="30"/>
      <c r="M540" s="30"/>
      <c r="N540" s="30"/>
      <c r="O540" s="30"/>
      <c r="P540" s="30" t="str">
        <f>IF(B540=0,"",(((1/12)*'Imperial Data'!$AC$4*'Imperial Data'!$AC$5)-C540)*$H$6)</f>
        <v/>
      </c>
      <c r="Q540" s="30"/>
      <c r="R540" s="30" t="str">
        <f>IF(B540=0,"",(((1/12)*'Imperial Data'!$AC$5*'Imperial Data'!$AC$7)-D540)*$H$6)</f>
        <v/>
      </c>
      <c r="S540" s="30"/>
      <c r="T540" s="30"/>
      <c r="U540" s="30"/>
      <c r="V540" s="30"/>
      <c r="W540" s="30" t="str">
        <f t="shared" si="72"/>
        <v/>
      </c>
      <c r="X540" s="31"/>
      <c r="Y540" s="30" t="str">
        <f t="shared" si="73"/>
        <v/>
      </c>
    </row>
    <row r="541" spans="2:25" x14ac:dyDescent="0.2">
      <c r="B541" s="34"/>
      <c r="C541" s="30" t="str">
        <f>IF(B541=0,"",IF('Imperial Data'!AG530&gt;=1, INDEX(Imperial_Incremental[], MATCH('Imperial Data'!AG530, Imperial_Incremental[Height], 1), MATCH('Cumulative Volumes Imperial'!$F$4, Imperial_Incremental[#Headers], 0)), 0))</f>
        <v/>
      </c>
      <c r="D541" s="30" t="str">
        <f>IF(B541=0,"",IF('Imperial Data'!AG530&gt;=1, INDEX(Imperial_Incremental[], MATCH('Imperial Data'!AG530, Imperial_Incremental[Height], 1), MATCH('Cumulative Volumes Imperial'!$F$4 &amp; "EC", Imperial_Incremental[#Headers], 0)), 0))</f>
        <v/>
      </c>
      <c r="E541" s="30"/>
      <c r="F541" s="30"/>
      <c r="G541" s="30"/>
      <c r="H541" s="30"/>
      <c r="I541" s="30"/>
      <c r="J541" s="30" t="str">
        <f>IF(B541="","",IF('Cumulative Volumes Imperial'!$AQ$17=FALSE,L541,K541))</f>
        <v/>
      </c>
      <c r="K541" s="30"/>
      <c r="L541" s="30"/>
      <c r="M541" s="30"/>
      <c r="N541" s="30"/>
      <c r="O541" s="30"/>
      <c r="P541" s="30" t="str">
        <f>IF(B541=0,"",(((1/12)*'Imperial Data'!$AC$4*'Imperial Data'!$AC$5)-C541)*$H$6)</f>
        <v/>
      </c>
      <c r="Q541" s="30"/>
      <c r="R541" s="30" t="str">
        <f>IF(B541=0,"",(((1/12)*'Imperial Data'!$AC$5*'Imperial Data'!$AC$7)-D541)*$H$6)</f>
        <v/>
      </c>
      <c r="S541" s="30"/>
      <c r="T541" s="30"/>
      <c r="U541" s="30"/>
      <c r="V541" s="30"/>
      <c r="W541" s="30" t="str">
        <f t="shared" si="72"/>
        <v/>
      </c>
      <c r="X541" s="31"/>
      <c r="Y541" s="30" t="str">
        <f t="shared" si="73"/>
        <v/>
      </c>
    </row>
    <row r="542" spans="2:25" x14ac:dyDescent="0.2">
      <c r="B542" s="34"/>
      <c r="C542" s="30" t="str">
        <f>IF(B542=0,"",IF('Imperial Data'!AG531&gt;=1, INDEX(Imperial_Incremental[], MATCH('Imperial Data'!AG531, Imperial_Incremental[Height], 1), MATCH('Cumulative Volumes Imperial'!$F$4, Imperial_Incremental[#Headers], 0)), 0))</f>
        <v/>
      </c>
      <c r="D542" s="30" t="str">
        <f>IF(B542=0,"",IF('Imperial Data'!AG531&gt;=1, INDEX(Imperial_Incremental[], MATCH('Imperial Data'!AG531, Imperial_Incremental[Height], 1), MATCH('Cumulative Volumes Imperial'!$F$4 &amp; "EC", Imperial_Incremental[#Headers], 0)), 0))</f>
        <v/>
      </c>
      <c r="E542" s="30"/>
      <c r="F542" s="30"/>
      <c r="G542" s="30"/>
      <c r="H542" s="30"/>
      <c r="I542" s="30"/>
      <c r="J542" s="30" t="str">
        <f>IF(B542="","",IF('Cumulative Volumes Imperial'!$AQ$17=FALSE,L542,K542))</f>
        <v/>
      </c>
      <c r="K542" s="30"/>
      <c r="L542" s="30"/>
      <c r="M542" s="30"/>
      <c r="N542" s="30"/>
      <c r="O542" s="30"/>
      <c r="P542" s="30" t="str">
        <f>IF(B542=0,"",(((1/12)*'Imperial Data'!$AC$4*'Imperial Data'!$AC$5)-C542)*$H$6)</f>
        <v/>
      </c>
      <c r="Q542" s="30"/>
      <c r="R542" s="30" t="str">
        <f>IF(B542=0,"",(((1/12)*'Imperial Data'!$AC$5*'Imperial Data'!$AC$7)-D542)*$H$6)</f>
        <v/>
      </c>
      <c r="S542" s="30"/>
      <c r="T542" s="30"/>
      <c r="U542" s="30"/>
      <c r="V542" s="30"/>
      <c r="W542" s="30" t="str">
        <f t="shared" si="72"/>
        <v/>
      </c>
      <c r="X542" s="31"/>
      <c r="Y542" s="30" t="str">
        <f t="shared" si="73"/>
        <v/>
      </c>
    </row>
    <row r="543" spans="2:25" x14ac:dyDescent="0.2">
      <c r="B543" s="34"/>
      <c r="C543" s="30" t="str">
        <f>IF(B543=0,"",IF('Imperial Data'!AG532&gt;=1, INDEX(Imperial_Incremental[], MATCH('Imperial Data'!AG532, Imperial_Incremental[Height], 1), MATCH('Cumulative Volumes Imperial'!$F$4, Imperial_Incremental[#Headers], 0)), 0))</f>
        <v/>
      </c>
      <c r="D543" s="30" t="str">
        <f>IF(B543=0,"",IF('Imperial Data'!AG532&gt;=1, INDEX(Imperial_Incremental[], MATCH('Imperial Data'!AG532, Imperial_Incremental[Height], 1), MATCH('Cumulative Volumes Imperial'!$F$4 &amp; "EC", Imperial_Incremental[#Headers], 0)), 0))</f>
        <v/>
      </c>
      <c r="E543" s="30"/>
      <c r="F543" s="30"/>
      <c r="G543" s="30"/>
      <c r="H543" s="30"/>
      <c r="I543" s="30"/>
      <c r="J543" s="30" t="str">
        <f>IF(B543="","",IF('Cumulative Volumes Imperial'!$AQ$17=FALSE,L543,K543))</f>
        <v/>
      </c>
      <c r="K543" s="30"/>
      <c r="L543" s="30"/>
      <c r="M543" s="30"/>
      <c r="N543" s="30"/>
      <c r="O543" s="30"/>
      <c r="P543" s="30" t="str">
        <f>IF(B543=0,"",(((1/12)*'Imperial Data'!$AC$4*'Imperial Data'!$AC$5)-C543)*$H$6)</f>
        <v/>
      </c>
      <c r="Q543" s="30"/>
      <c r="R543" s="30" t="str">
        <f>IF(B543=0,"",(((1/12)*'Imperial Data'!$AC$5*'Imperial Data'!$AC$7)-D543)*$H$6)</f>
        <v/>
      </c>
      <c r="S543" s="30"/>
      <c r="T543" s="30"/>
      <c r="U543" s="30"/>
      <c r="V543" s="30"/>
      <c r="W543" s="30" t="str">
        <f t="shared" si="72"/>
        <v/>
      </c>
      <c r="X543" s="31"/>
      <c r="Y543" s="30" t="str">
        <f t="shared" si="73"/>
        <v/>
      </c>
    </row>
    <row r="544" spans="2:25" x14ac:dyDescent="0.2">
      <c r="B544" s="34"/>
      <c r="C544" s="30" t="str">
        <f>IF(B544=0,"",IF('Imperial Data'!AG533&gt;=1, INDEX(Imperial_Incremental[], MATCH('Imperial Data'!AG533, Imperial_Incremental[Height], 1), MATCH('Cumulative Volumes Imperial'!$F$4, Imperial_Incremental[#Headers], 0)), 0))</f>
        <v/>
      </c>
      <c r="D544" s="30" t="str">
        <f>IF(B544=0,"",IF('Imperial Data'!AG533&gt;=1, INDEX(Imperial_Incremental[], MATCH('Imperial Data'!AG533, Imperial_Incremental[Height], 1), MATCH('Cumulative Volumes Imperial'!$F$4 &amp; "EC", Imperial_Incremental[#Headers], 0)), 0))</f>
        <v/>
      </c>
      <c r="E544" s="30"/>
      <c r="F544" s="30"/>
      <c r="G544" s="30"/>
      <c r="H544" s="30"/>
      <c r="I544" s="30"/>
      <c r="J544" s="30" t="str">
        <f>IF(B544="","",IF('Cumulative Volumes Imperial'!$AQ$17=FALSE,L544,K544))</f>
        <v/>
      </c>
      <c r="K544" s="30"/>
      <c r="L544" s="30"/>
      <c r="M544" s="30"/>
      <c r="N544" s="30"/>
      <c r="O544" s="30"/>
      <c r="P544" s="30" t="str">
        <f>IF(B544=0,"",(((1/12)*'Imperial Data'!$AC$4*'Imperial Data'!$AC$5)-C544)*$H$6)</f>
        <v/>
      </c>
      <c r="Q544" s="30"/>
      <c r="R544" s="30" t="str">
        <f>IF(B544=0,"",(((1/12)*'Imperial Data'!$AC$5*'Imperial Data'!$AC$7)-D544)*$H$6)</f>
        <v/>
      </c>
      <c r="S544" s="30"/>
      <c r="T544" s="30"/>
      <c r="U544" s="30"/>
      <c r="V544" s="30"/>
      <c r="W544" s="30" t="str">
        <f t="shared" si="72"/>
        <v/>
      </c>
      <c r="X544" s="31"/>
      <c r="Y544" s="30" t="str">
        <f t="shared" si="73"/>
        <v/>
      </c>
    </row>
    <row r="545" spans="2:25" x14ac:dyDescent="0.2">
      <c r="B545" s="34"/>
      <c r="C545" s="30" t="str">
        <f>IF(B545=0,"",IF('Imperial Data'!AG534&gt;=1, INDEX(Imperial_Incremental[], MATCH('Imperial Data'!AG534, Imperial_Incremental[Height], 1), MATCH('Cumulative Volumes Imperial'!$F$4, Imperial_Incremental[#Headers], 0)), 0))</f>
        <v/>
      </c>
      <c r="D545" s="30" t="str">
        <f>IF(B545=0,"",IF('Imperial Data'!AG534&gt;=1, INDEX(Imperial_Incremental[], MATCH('Imperial Data'!AG534, Imperial_Incremental[Height], 1), MATCH('Cumulative Volumes Imperial'!$F$4 &amp; "EC", Imperial_Incremental[#Headers], 0)), 0))</f>
        <v/>
      </c>
      <c r="E545" s="30"/>
      <c r="F545" s="30"/>
      <c r="G545" s="30"/>
      <c r="H545" s="30"/>
      <c r="I545" s="30"/>
      <c r="J545" s="30" t="str">
        <f>IF(B545="","",IF('Cumulative Volumes Imperial'!$AQ$17=FALSE,L545,K545))</f>
        <v/>
      </c>
      <c r="K545" s="30"/>
      <c r="L545" s="30"/>
      <c r="M545" s="30"/>
      <c r="N545" s="30"/>
      <c r="O545" s="30"/>
      <c r="P545" s="30" t="str">
        <f>IF(B545=0,"",(((1/12)*'Imperial Data'!$AC$4*'Imperial Data'!$AC$5)-C545)*$H$6)</f>
        <v/>
      </c>
      <c r="Q545" s="30"/>
      <c r="R545" s="30" t="str">
        <f>IF(B545=0,"",(((1/12)*'Imperial Data'!$AC$5*'Imperial Data'!$AC$7)-D545)*$H$6)</f>
        <v/>
      </c>
      <c r="S545" s="30"/>
      <c r="T545" s="30"/>
      <c r="U545" s="30"/>
      <c r="V545" s="30"/>
      <c r="W545" s="30" t="str">
        <f t="shared" si="72"/>
        <v/>
      </c>
      <c r="X545" s="31"/>
      <c r="Y545" s="30" t="str">
        <f t="shared" si="73"/>
        <v/>
      </c>
    </row>
    <row r="546" spans="2:25" x14ac:dyDescent="0.2">
      <c r="B546" s="34"/>
      <c r="C546" s="30" t="str">
        <f>IF(B546=0,"",IF('Imperial Data'!AG535&gt;=1, INDEX(Imperial_Incremental[], MATCH('Imperial Data'!AG535, Imperial_Incremental[Height], 1), MATCH('Cumulative Volumes Imperial'!$F$4, Imperial_Incremental[#Headers], 0)), 0))</f>
        <v/>
      </c>
      <c r="D546" s="30" t="str">
        <f>IF(B546=0,"",IF('Imperial Data'!AG535&gt;=1, INDEX(Imperial_Incremental[], MATCH('Imperial Data'!AG535, Imperial_Incremental[Height], 1), MATCH('Cumulative Volumes Imperial'!$F$4 &amp; "EC", Imperial_Incremental[#Headers], 0)), 0))</f>
        <v/>
      </c>
      <c r="E546" s="30"/>
      <c r="F546" s="30"/>
      <c r="G546" s="30"/>
      <c r="H546" s="30"/>
      <c r="I546" s="30"/>
      <c r="J546" s="30" t="str">
        <f>IF(B546="","",IF('Cumulative Volumes Imperial'!$AQ$17=FALSE,L546,K546))</f>
        <v/>
      </c>
      <c r="K546" s="30"/>
      <c r="L546" s="30"/>
      <c r="M546" s="30"/>
      <c r="N546" s="30"/>
      <c r="O546" s="30"/>
      <c r="P546" s="30" t="str">
        <f>IF(B546=0,"",(((1/12)*'Imperial Data'!$AC$4*'Imperial Data'!$AC$5)-C546)*$H$6)</f>
        <v/>
      </c>
      <c r="Q546" s="30"/>
      <c r="R546" s="30" t="str">
        <f>IF(B546=0,"",(((1/12)*'Imperial Data'!$AC$5*'Imperial Data'!$AC$7)-D546)*$H$6)</f>
        <v/>
      </c>
      <c r="S546" s="30"/>
      <c r="T546" s="30"/>
      <c r="U546" s="30"/>
      <c r="V546" s="30"/>
      <c r="W546" s="30" t="str">
        <f t="shared" si="72"/>
        <v/>
      </c>
      <c r="X546" s="31"/>
      <c r="Y546" s="30" t="str">
        <f t="shared" si="73"/>
        <v/>
      </c>
    </row>
    <row r="547" spans="2:25" x14ac:dyDescent="0.2">
      <c r="B547" s="34"/>
      <c r="C547" s="30" t="str">
        <f>IF(B547=0,"",IF('Imperial Data'!AG536&gt;=1, INDEX(Imperial_Incremental[], MATCH('Imperial Data'!AG536, Imperial_Incremental[Height], 1), MATCH('Cumulative Volumes Imperial'!$F$4, Imperial_Incremental[#Headers], 0)), 0))</f>
        <v/>
      </c>
      <c r="D547" s="30" t="str">
        <f>IF(B547=0,"",IF('Imperial Data'!AG536&gt;=1, INDEX(Imperial_Incremental[], MATCH('Imperial Data'!AG536, Imperial_Incremental[Height], 1), MATCH('Cumulative Volumes Imperial'!$F$4 &amp; "EC", Imperial_Incremental[#Headers], 0)), 0))</f>
        <v/>
      </c>
      <c r="E547" s="30"/>
      <c r="F547" s="30"/>
      <c r="G547" s="30"/>
      <c r="H547" s="30"/>
      <c r="I547" s="30"/>
      <c r="J547" s="30" t="str">
        <f>IF(B547="","",IF('Cumulative Volumes Imperial'!$AQ$17=FALSE,L547,K547))</f>
        <v/>
      </c>
      <c r="K547" s="30"/>
      <c r="L547" s="30"/>
      <c r="M547" s="30"/>
      <c r="N547" s="30"/>
      <c r="O547" s="30"/>
      <c r="P547" s="30" t="str">
        <f>IF(B547=0,"",(((1/12)*'Imperial Data'!$AC$4*'Imperial Data'!$AC$5)-C547)*$H$6)</f>
        <v/>
      </c>
      <c r="Q547" s="30"/>
      <c r="R547" s="30" t="str">
        <f>IF(B547=0,"",(((1/12)*'Imperial Data'!$AC$5*'Imperial Data'!$AC$7)-D547)*$H$6)</f>
        <v/>
      </c>
      <c r="S547" s="30"/>
      <c r="T547" s="30"/>
      <c r="U547" s="30"/>
      <c r="V547" s="30"/>
      <c r="W547" s="30" t="str">
        <f t="shared" si="72"/>
        <v/>
      </c>
      <c r="X547" s="31"/>
      <c r="Y547" s="30" t="str">
        <f t="shared" si="73"/>
        <v/>
      </c>
    </row>
    <row r="548" spans="2:25" x14ac:dyDescent="0.2">
      <c r="B548" s="34"/>
      <c r="C548" s="30" t="str">
        <f>IF(B548=0,"",IF('Imperial Data'!AG537&gt;=1, INDEX(Imperial_Incremental[], MATCH('Imperial Data'!AG537, Imperial_Incremental[Height], 1), MATCH('Cumulative Volumes Imperial'!$F$4, Imperial_Incremental[#Headers], 0)), 0))</f>
        <v/>
      </c>
      <c r="D548" s="30" t="str">
        <f>IF(B548=0,"",IF('Imperial Data'!AG537&gt;=1, INDEX(Imperial_Incremental[], MATCH('Imperial Data'!AG537, Imperial_Incremental[Height], 1), MATCH('Cumulative Volumes Imperial'!$F$4 &amp; "EC", Imperial_Incremental[#Headers], 0)), 0))</f>
        <v/>
      </c>
      <c r="E548" s="30"/>
      <c r="F548" s="30"/>
      <c r="G548" s="30"/>
      <c r="H548" s="30"/>
      <c r="I548" s="30"/>
      <c r="J548" s="30" t="str">
        <f>IF(B548="","",IF('Cumulative Volumes Imperial'!$AQ$17=FALSE,L548,K548))</f>
        <v/>
      </c>
      <c r="K548" s="30"/>
      <c r="L548" s="30"/>
      <c r="M548" s="30"/>
      <c r="N548" s="30"/>
      <c r="O548" s="30"/>
      <c r="P548" s="30" t="str">
        <f>IF(B548=0,"",(((1/12)*'Imperial Data'!$AC$4*'Imperial Data'!$AC$5)-C548)*$H$6)</f>
        <v/>
      </c>
      <c r="Q548" s="30"/>
      <c r="R548" s="30" t="str">
        <f>IF(B548=0,"",(((1/12)*'Imperial Data'!$AC$5*'Imperial Data'!$AC$7)-D548)*$H$6)</f>
        <v/>
      </c>
      <c r="S548" s="30"/>
      <c r="T548" s="30"/>
      <c r="U548" s="30"/>
      <c r="V548" s="30"/>
      <c r="W548" s="30" t="str">
        <f t="shared" si="72"/>
        <v/>
      </c>
      <c r="X548" s="31"/>
      <c r="Y548" s="30" t="str">
        <f t="shared" si="73"/>
        <v/>
      </c>
    </row>
    <row r="549" spans="2:25" x14ac:dyDescent="0.2">
      <c r="B549" s="34"/>
      <c r="C549" s="30" t="str">
        <f>IF(B549=0,"",IF('Imperial Data'!AG538&gt;=1, INDEX(Imperial_Incremental[], MATCH('Imperial Data'!AG538, Imperial_Incremental[Height], 1), MATCH('Cumulative Volumes Imperial'!$F$4, Imperial_Incremental[#Headers], 0)), 0))</f>
        <v/>
      </c>
      <c r="D549" s="30" t="str">
        <f>IF(B549=0,"",IF('Imperial Data'!AG538&gt;=1, INDEX(Imperial_Incremental[], MATCH('Imperial Data'!AG538, Imperial_Incremental[Height], 1), MATCH('Cumulative Volumes Imperial'!$F$4 &amp; "EC", Imperial_Incremental[#Headers], 0)), 0))</f>
        <v/>
      </c>
      <c r="E549" s="30"/>
      <c r="F549" s="30"/>
      <c r="G549" s="30"/>
      <c r="H549" s="30"/>
      <c r="I549" s="30"/>
      <c r="J549" s="30" t="str">
        <f>IF(B549="","",IF('Cumulative Volumes Imperial'!$AQ$17=FALSE,L549,K549))</f>
        <v/>
      </c>
      <c r="K549" s="30"/>
      <c r="L549" s="30"/>
      <c r="M549" s="30"/>
      <c r="N549" s="30"/>
      <c r="O549" s="30"/>
      <c r="P549" s="30" t="str">
        <f>IF(B549=0,"",(((1/12)*'Imperial Data'!$AC$4*'Imperial Data'!$AC$5)-C549)*$H$6)</f>
        <v/>
      </c>
      <c r="Q549" s="30"/>
      <c r="R549" s="30" t="str">
        <f>IF(B549=0,"",(((1/12)*'Imperial Data'!$AC$5*'Imperial Data'!$AC$7)-D549)*$H$6)</f>
        <v/>
      </c>
      <c r="S549" s="30"/>
      <c r="T549" s="30"/>
      <c r="U549" s="30"/>
      <c r="V549" s="30"/>
      <c r="W549" s="30" t="str">
        <f t="shared" si="72"/>
        <v/>
      </c>
      <c r="X549" s="31"/>
      <c r="Y549" s="30" t="str">
        <f t="shared" si="73"/>
        <v/>
      </c>
    </row>
    <row r="550" spans="2:25" x14ac:dyDescent="0.2">
      <c r="B550" s="34"/>
      <c r="C550" s="30" t="str">
        <f>IF(B550=0,"",IF('Imperial Data'!AG539&gt;=1, INDEX(Imperial_Incremental[], MATCH('Imperial Data'!AG539, Imperial_Incremental[Height], 1), MATCH('Cumulative Volumes Imperial'!$F$4, Imperial_Incremental[#Headers], 0)), 0))</f>
        <v/>
      </c>
      <c r="D550" s="30" t="str">
        <f>IF(B550=0,"",IF('Imperial Data'!AG539&gt;=1, INDEX(Imperial_Incremental[], MATCH('Imperial Data'!AG539, Imperial_Incremental[Height], 1), MATCH('Cumulative Volumes Imperial'!$F$4 &amp; "EC", Imperial_Incremental[#Headers], 0)), 0))</f>
        <v/>
      </c>
      <c r="E550" s="30"/>
      <c r="F550" s="30"/>
      <c r="G550" s="30"/>
      <c r="H550" s="30"/>
      <c r="I550" s="30"/>
      <c r="J550" s="30" t="str">
        <f>IF(B550="","",IF('Cumulative Volumes Imperial'!$AQ$17=FALSE,L550,K550))</f>
        <v/>
      </c>
      <c r="K550" s="30"/>
      <c r="L550" s="30"/>
      <c r="M550" s="30"/>
      <c r="N550" s="30"/>
      <c r="O550" s="30"/>
      <c r="P550" s="30" t="str">
        <f>IF(B550=0,"",(((1/12)*'Imperial Data'!$AC$4*'Imperial Data'!$AC$5)-C550)*$H$6)</f>
        <v/>
      </c>
      <c r="Q550" s="30"/>
      <c r="R550" s="30" t="str">
        <f>IF(B550=0,"",(((1/12)*'Imperial Data'!$AC$5*'Imperial Data'!$AC$7)-D550)*$H$6)</f>
        <v/>
      </c>
      <c r="S550" s="30"/>
      <c r="T550" s="30"/>
      <c r="U550" s="30"/>
      <c r="V550" s="30"/>
      <c r="W550" s="30" t="str">
        <f t="shared" si="72"/>
        <v/>
      </c>
      <c r="X550" s="31"/>
      <c r="Y550" s="30" t="str">
        <f t="shared" si="73"/>
        <v/>
      </c>
    </row>
    <row r="551" spans="2:25" x14ac:dyDescent="0.2">
      <c r="B551" s="34"/>
      <c r="C551" s="30" t="str">
        <f>IF(B551=0,"",IF('Imperial Data'!AG540&gt;=1, INDEX(Imperial_Incremental[], MATCH('Imperial Data'!AG540, Imperial_Incremental[Height], 1), MATCH('Cumulative Volumes Imperial'!$F$4, Imperial_Incremental[#Headers], 0)), 0))</f>
        <v/>
      </c>
      <c r="D551" s="30" t="str">
        <f>IF(B551=0,"",IF('Imperial Data'!AG540&gt;=1, INDEX(Imperial_Incremental[], MATCH('Imperial Data'!AG540, Imperial_Incremental[Height], 1), MATCH('Cumulative Volumes Imperial'!$F$4 &amp; "EC", Imperial_Incremental[#Headers], 0)), 0))</f>
        <v/>
      </c>
      <c r="E551" s="30"/>
      <c r="F551" s="30"/>
      <c r="G551" s="30"/>
      <c r="H551" s="30"/>
      <c r="I551" s="30"/>
      <c r="J551" s="30" t="str">
        <f>IF(B551="","",IF('Cumulative Volumes Imperial'!$AQ$17=FALSE,L551,K551))</f>
        <v/>
      </c>
      <c r="K551" s="30"/>
      <c r="L551" s="30"/>
      <c r="M551" s="30"/>
      <c r="N551" s="30"/>
      <c r="O551" s="30"/>
      <c r="P551" s="30" t="str">
        <f>IF(B551=0,"",(((1/12)*'Imperial Data'!$AC$4*'Imperial Data'!$AC$5)-C551)*$H$6)</f>
        <v/>
      </c>
      <c r="Q551" s="30"/>
      <c r="R551" s="30" t="str">
        <f>IF(B551=0,"",(((1/12)*'Imperial Data'!$AC$5*'Imperial Data'!$AC$7)-D551)*$H$6)</f>
        <v/>
      </c>
      <c r="S551" s="30"/>
      <c r="T551" s="30"/>
      <c r="U551" s="30"/>
      <c r="V551" s="30"/>
      <c r="W551" s="30" t="str">
        <f t="shared" si="72"/>
        <v/>
      </c>
      <c r="X551" s="31"/>
      <c r="Y551" s="30" t="str">
        <f t="shared" si="73"/>
        <v/>
      </c>
    </row>
    <row r="552" spans="2:25" x14ac:dyDescent="0.2">
      <c r="B552" s="34"/>
      <c r="C552" s="30" t="str">
        <f>IF(B552=0,"",IF('Imperial Data'!AG541&gt;=1, INDEX(Imperial_Incremental[], MATCH('Imperial Data'!AG541, Imperial_Incremental[Height], 1), MATCH('Cumulative Volumes Imperial'!$F$4, Imperial_Incremental[#Headers], 0)), 0))</f>
        <v/>
      </c>
      <c r="D552" s="30" t="str">
        <f>IF(B552=0,"",IF('Imperial Data'!AG541&gt;=1, INDEX(Imperial_Incremental[], MATCH('Imperial Data'!AG541, Imperial_Incremental[Height], 1), MATCH('Cumulative Volumes Imperial'!$F$4 &amp; "EC", Imperial_Incremental[#Headers], 0)), 0))</f>
        <v/>
      </c>
      <c r="E552" s="30"/>
      <c r="F552" s="30"/>
      <c r="G552" s="30"/>
      <c r="H552" s="30"/>
      <c r="I552" s="30"/>
      <c r="J552" s="30" t="str">
        <f>IF(B552="","",IF('Cumulative Volumes Imperial'!$AQ$17=FALSE,L552,K552))</f>
        <v/>
      </c>
      <c r="K552" s="30"/>
      <c r="L552" s="30"/>
      <c r="M552" s="30"/>
      <c r="N552" s="30"/>
      <c r="O552" s="30"/>
      <c r="P552" s="30" t="str">
        <f>IF(B552=0,"",(((1/12)*'Imperial Data'!$AC$4*'Imperial Data'!$AC$5)-C552)*$H$6)</f>
        <v/>
      </c>
      <c r="Q552" s="30"/>
      <c r="R552" s="30" t="str">
        <f>IF(B552=0,"",(((1/12)*'Imperial Data'!$AC$5*'Imperial Data'!$AC$7)-D552)*$H$6)</f>
        <v/>
      </c>
      <c r="S552" s="30"/>
      <c r="T552" s="30"/>
      <c r="U552" s="30"/>
      <c r="V552" s="30"/>
      <c r="W552" s="30" t="str">
        <f t="shared" si="72"/>
        <v/>
      </c>
      <c r="X552" s="31"/>
      <c r="Y552" s="30" t="str">
        <f t="shared" si="73"/>
        <v/>
      </c>
    </row>
    <row r="553" spans="2:25" x14ac:dyDescent="0.2">
      <c r="B553" s="34"/>
      <c r="C553" s="30" t="str">
        <f>IF(B553=0,"",IF('Imperial Data'!AG542&gt;=1, INDEX(Imperial_Incremental[], MATCH('Imperial Data'!AG542, Imperial_Incremental[Height], 1), MATCH('Cumulative Volumes Imperial'!$F$4, Imperial_Incremental[#Headers], 0)), 0))</f>
        <v/>
      </c>
      <c r="D553" s="30" t="str">
        <f>IF(B553=0,"",IF('Imperial Data'!AG542&gt;=1, INDEX(Imperial_Incremental[], MATCH('Imperial Data'!AG542, Imperial_Incremental[Height], 1), MATCH('Cumulative Volumes Imperial'!$F$4 &amp; "EC", Imperial_Incremental[#Headers], 0)), 0))</f>
        <v/>
      </c>
      <c r="E553" s="30"/>
      <c r="F553" s="30"/>
      <c r="G553" s="30"/>
      <c r="H553" s="30"/>
      <c r="I553" s="30"/>
      <c r="J553" s="30" t="str">
        <f>IF(B553="","",IF('Cumulative Volumes Imperial'!$AQ$17=FALSE,L553,K553))</f>
        <v/>
      </c>
      <c r="K553" s="30"/>
      <c r="L553" s="30"/>
      <c r="M553" s="30"/>
      <c r="N553" s="30"/>
      <c r="O553" s="30"/>
      <c r="P553" s="30" t="str">
        <f>IF(B553=0,"",(((1/12)*'Imperial Data'!$AC$4*'Imperial Data'!$AC$5)-C553)*$H$6)</f>
        <v/>
      </c>
      <c r="Q553" s="30"/>
      <c r="R553" s="30" t="str">
        <f>IF(B553=0,"",(((1/12)*'Imperial Data'!$AC$5*'Imperial Data'!$AC$7)-D553)*$H$6)</f>
        <v/>
      </c>
      <c r="S553" s="30"/>
      <c r="T553" s="30"/>
      <c r="U553" s="30"/>
      <c r="V553" s="30"/>
      <c r="W553" s="30" t="str">
        <f t="shared" si="72"/>
        <v/>
      </c>
      <c r="X553" s="31"/>
      <c r="Y553" s="30" t="str">
        <f t="shared" si="73"/>
        <v/>
      </c>
    </row>
    <row r="554" spans="2:25" x14ac:dyDescent="0.2">
      <c r="B554" s="34"/>
      <c r="C554" s="30" t="str">
        <f>IF(B554=0,"",IF('Imperial Data'!AG543&gt;=1, INDEX(Imperial_Incremental[], MATCH('Imperial Data'!AG543, Imperial_Incremental[Height], 1), MATCH('Cumulative Volumes Imperial'!$F$4, Imperial_Incremental[#Headers], 0)), 0))</f>
        <v/>
      </c>
      <c r="D554" s="30" t="str">
        <f>IF(B554=0,"",IF('Imperial Data'!AG543&gt;=1, INDEX(Imperial_Incremental[], MATCH('Imperial Data'!AG543, Imperial_Incremental[Height], 1), MATCH('Cumulative Volumes Imperial'!$F$4 &amp; "EC", Imperial_Incremental[#Headers], 0)), 0))</f>
        <v/>
      </c>
      <c r="E554" s="30"/>
      <c r="F554" s="30"/>
      <c r="G554" s="30"/>
      <c r="H554" s="30"/>
      <c r="I554" s="30"/>
      <c r="J554" s="30" t="str">
        <f>IF(B554="","",IF('Cumulative Volumes Imperial'!$AQ$17=FALSE,L554,K554))</f>
        <v/>
      </c>
      <c r="K554" s="30"/>
      <c r="L554" s="30"/>
      <c r="M554" s="30"/>
      <c r="N554" s="30"/>
      <c r="O554" s="30"/>
      <c r="P554" s="30" t="str">
        <f>IF(B554=0,"",(((1/12)*'Imperial Data'!$AC$4*'Imperial Data'!$AC$5)-C554)*$H$6)</f>
        <v/>
      </c>
      <c r="Q554" s="30"/>
      <c r="R554" s="30" t="str">
        <f>IF(B554=0,"",(((1/12)*'Imperial Data'!$AC$5*'Imperial Data'!$AC$7)-D554)*$H$6)</f>
        <v/>
      </c>
      <c r="S554" s="30"/>
      <c r="T554" s="30"/>
      <c r="U554" s="30"/>
      <c r="V554" s="30"/>
      <c r="W554" s="30" t="str">
        <f t="shared" si="72"/>
        <v/>
      </c>
      <c r="X554" s="31"/>
      <c r="Y554" s="30" t="str">
        <f t="shared" si="73"/>
        <v/>
      </c>
    </row>
    <row r="555" spans="2:25" x14ac:dyDescent="0.2">
      <c r="B555" s="34"/>
      <c r="C555" s="30" t="str">
        <f>IF(B555=0,"",IF('Imperial Data'!AG544&gt;=1, INDEX(Imperial_Incremental[], MATCH('Imperial Data'!AG544, Imperial_Incremental[Height], 1), MATCH('Cumulative Volumes Imperial'!$F$4, Imperial_Incremental[#Headers], 0)), 0))</f>
        <v/>
      </c>
      <c r="D555" s="30" t="str">
        <f>IF(B555=0,"",IF('Imperial Data'!AG544&gt;=1, INDEX(Imperial_Incremental[], MATCH('Imperial Data'!AG544, Imperial_Incremental[Height], 1), MATCH('Cumulative Volumes Imperial'!$F$4 &amp; "EC", Imperial_Incremental[#Headers], 0)), 0))</f>
        <v/>
      </c>
      <c r="E555" s="30"/>
      <c r="F555" s="30"/>
      <c r="G555" s="30"/>
      <c r="H555" s="30"/>
      <c r="I555" s="30"/>
      <c r="J555" s="30" t="str">
        <f>IF(B555="","",IF('Cumulative Volumes Imperial'!$AQ$17=FALSE,L555,K555))</f>
        <v/>
      </c>
      <c r="K555" s="30"/>
      <c r="L555" s="30"/>
      <c r="M555" s="30"/>
      <c r="N555" s="30"/>
      <c r="O555" s="30"/>
      <c r="P555" s="30" t="str">
        <f>IF(B555=0,"",(((1/12)*'Imperial Data'!$AC$4*'Imperial Data'!$AC$5)-C555)*$H$6)</f>
        <v/>
      </c>
      <c r="Q555" s="30"/>
      <c r="R555" s="30" t="str">
        <f>IF(B555=0,"",(((1/12)*'Imperial Data'!$AC$5*'Imperial Data'!$AC$7)-D555)*$H$6)</f>
        <v/>
      </c>
      <c r="S555" s="30"/>
      <c r="T555" s="30"/>
      <c r="U555" s="30"/>
      <c r="V555" s="30"/>
      <c r="W555" s="30" t="str">
        <f t="shared" si="72"/>
        <v/>
      </c>
      <c r="X555" s="31"/>
      <c r="Y555" s="30" t="str">
        <f t="shared" si="73"/>
        <v/>
      </c>
    </row>
    <row r="556" spans="2:25" x14ac:dyDescent="0.2">
      <c r="B556" s="34"/>
      <c r="C556" s="30" t="str">
        <f>IF(B556=0,"",IF('Imperial Data'!AG545&gt;=1, INDEX(Imperial_Incremental[], MATCH('Imperial Data'!AG545, Imperial_Incremental[Height], 1), MATCH('Cumulative Volumes Imperial'!$F$4, Imperial_Incremental[#Headers], 0)), 0))</f>
        <v/>
      </c>
      <c r="D556" s="30" t="str">
        <f>IF(B556=0,"",IF('Imperial Data'!AG545&gt;=1, INDEX(Imperial_Incremental[], MATCH('Imperial Data'!AG545, Imperial_Incremental[Height], 1), MATCH('Cumulative Volumes Imperial'!$F$4 &amp; "EC", Imperial_Incremental[#Headers], 0)), 0))</f>
        <v/>
      </c>
      <c r="E556" s="30"/>
      <c r="F556" s="30"/>
      <c r="G556" s="30"/>
      <c r="H556" s="30"/>
      <c r="I556" s="30"/>
      <c r="J556" s="30" t="str">
        <f>IF(B556="","",IF('Cumulative Volumes Imperial'!$AQ$17=FALSE,L556,K556))</f>
        <v/>
      </c>
      <c r="K556" s="30"/>
      <c r="L556" s="30"/>
      <c r="M556" s="30"/>
      <c r="N556" s="30"/>
      <c r="O556" s="30"/>
      <c r="P556" s="30" t="str">
        <f>IF(B556=0,"",(((1/12)*'Imperial Data'!$AC$4*'Imperial Data'!$AC$5)-C556)*$H$6)</f>
        <v/>
      </c>
      <c r="Q556" s="30"/>
      <c r="R556" s="30" t="str">
        <f>IF(B556=0,"",(((1/12)*'Imperial Data'!$AC$5*'Imperial Data'!$AC$7)-D556)*$H$6)</f>
        <v/>
      </c>
      <c r="S556" s="30"/>
      <c r="T556" s="30"/>
      <c r="U556" s="30"/>
      <c r="V556" s="30"/>
      <c r="W556" s="30" t="str">
        <f t="shared" si="72"/>
        <v/>
      </c>
      <c r="X556" s="31"/>
      <c r="Y556" s="30" t="str">
        <f t="shared" si="73"/>
        <v/>
      </c>
    </row>
    <row r="557" spans="2:25" x14ac:dyDescent="0.2">
      <c r="B557" s="34"/>
      <c r="C557" s="30" t="str">
        <f>IF(B557=0,"",IF('Imperial Data'!AG546&gt;=1, INDEX(Imperial_Incremental[], MATCH('Imperial Data'!AG546, Imperial_Incremental[Height], 1), MATCH('Cumulative Volumes Imperial'!$F$4, Imperial_Incremental[#Headers], 0)), 0))</f>
        <v/>
      </c>
      <c r="D557" s="30" t="str">
        <f>IF(B557=0,"",IF('Imperial Data'!AG546&gt;=1, INDEX(Imperial_Incremental[], MATCH('Imperial Data'!AG546, Imperial_Incremental[Height], 1), MATCH('Cumulative Volumes Imperial'!$F$4 &amp; "EC", Imperial_Incremental[#Headers], 0)), 0))</f>
        <v/>
      </c>
      <c r="E557" s="30"/>
      <c r="F557" s="30"/>
      <c r="G557" s="30"/>
      <c r="H557" s="30"/>
      <c r="I557" s="30"/>
      <c r="J557" s="30" t="str">
        <f>IF(B557="","",IF('Cumulative Volumes Imperial'!$AQ$17=FALSE,L557,K557))</f>
        <v/>
      </c>
      <c r="K557" s="30"/>
      <c r="L557" s="30"/>
      <c r="M557" s="30"/>
      <c r="N557" s="30"/>
      <c r="O557" s="30"/>
      <c r="P557" s="30" t="str">
        <f>IF(B557=0,"",(((1/12)*'Imperial Data'!$AC$4*'Imperial Data'!$AC$5)-C557)*$H$6)</f>
        <v/>
      </c>
      <c r="Q557" s="30"/>
      <c r="R557" s="30" t="str">
        <f>IF(B557=0,"",(((1/12)*'Imperial Data'!$AC$5*'Imperial Data'!$AC$7)-D557)*$H$6)</f>
        <v/>
      </c>
      <c r="S557" s="30"/>
      <c r="T557" s="30"/>
      <c r="U557" s="30"/>
      <c r="V557" s="30"/>
      <c r="W557" s="30" t="str">
        <f t="shared" si="72"/>
        <v/>
      </c>
      <c r="X557" s="31"/>
      <c r="Y557" s="30" t="str">
        <f t="shared" si="73"/>
        <v/>
      </c>
    </row>
    <row r="558" spans="2:25" x14ac:dyDescent="0.2">
      <c r="B558" s="34"/>
      <c r="C558" s="30" t="str">
        <f>IF(B558=0,"",IF('Imperial Data'!AG547&gt;=1, INDEX(Imperial_Incremental[], MATCH('Imperial Data'!AG547, Imperial_Incremental[Height], 1), MATCH('Cumulative Volumes Imperial'!$F$4, Imperial_Incremental[#Headers], 0)), 0))</f>
        <v/>
      </c>
      <c r="D558" s="30" t="str">
        <f>IF(B558=0,"",IF('Imperial Data'!AG547&gt;=1, INDEX(Imperial_Incremental[], MATCH('Imperial Data'!AG547, Imperial_Incremental[Height], 1), MATCH('Cumulative Volumes Imperial'!$F$4 &amp; "EC", Imperial_Incremental[#Headers], 0)), 0))</f>
        <v/>
      </c>
      <c r="E558" s="30"/>
      <c r="F558" s="30"/>
      <c r="G558" s="30"/>
      <c r="H558" s="30"/>
      <c r="I558" s="30"/>
      <c r="J558" s="30" t="str">
        <f>IF(B558="","",IF('Cumulative Volumes Imperial'!$AQ$17=FALSE,L558,K558))</f>
        <v/>
      </c>
      <c r="K558" s="30"/>
      <c r="L558" s="30"/>
      <c r="M558" s="30"/>
      <c r="N558" s="30"/>
      <c r="O558" s="30"/>
      <c r="P558" s="30" t="str">
        <f>IF(B558=0,"",(((1/12)*'Imperial Data'!$AC$4*'Imperial Data'!$AC$5)-C558)*$H$6)</f>
        <v/>
      </c>
      <c r="Q558" s="30"/>
      <c r="R558" s="30" t="str">
        <f>IF(B558=0,"",(((1/12)*'Imperial Data'!$AC$5*'Imperial Data'!$AC$7)-D558)*$H$6)</f>
        <v/>
      </c>
      <c r="S558" s="30"/>
      <c r="T558" s="30"/>
      <c r="U558" s="30"/>
      <c r="V558" s="30"/>
      <c r="W558" s="30" t="str">
        <f t="shared" si="72"/>
        <v/>
      </c>
      <c r="X558" s="31"/>
      <c r="Y558" s="30" t="str">
        <f t="shared" si="73"/>
        <v/>
      </c>
    </row>
    <row r="559" spans="2:25" x14ac:dyDescent="0.2">
      <c r="B559" s="34"/>
      <c r="C559" s="30" t="str">
        <f>IF(B559=0,"",IF('Imperial Data'!AG548&gt;=1, INDEX(Imperial_Incremental[], MATCH('Imperial Data'!AG548, Imperial_Incremental[Height], 1), MATCH('Cumulative Volumes Imperial'!$F$4, Imperial_Incremental[#Headers], 0)), 0))</f>
        <v/>
      </c>
      <c r="D559" s="30" t="str">
        <f>IF(B559=0,"",IF('Imperial Data'!AG548&gt;=1, INDEX(Imperial_Incremental[], MATCH('Imperial Data'!AG548, Imperial_Incremental[Height], 1), MATCH('Cumulative Volumes Imperial'!$F$4 &amp; "EC", Imperial_Incremental[#Headers], 0)), 0))</f>
        <v/>
      </c>
      <c r="E559" s="30"/>
      <c r="F559" s="30"/>
      <c r="G559" s="30"/>
      <c r="H559" s="30"/>
      <c r="I559" s="30"/>
      <c r="J559" s="30" t="str">
        <f>IF(B559="","",IF('Cumulative Volumes Imperial'!$AQ$17=FALSE,L559,K559))</f>
        <v/>
      </c>
      <c r="K559" s="30"/>
      <c r="L559" s="30"/>
      <c r="M559" s="30"/>
      <c r="N559" s="30"/>
      <c r="O559" s="30"/>
      <c r="P559" s="30" t="str">
        <f>IF(B559=0,"",(((1/12)*'Imperial Data'!$AC$4*'Imperial Data'!$AC$5)-C559)*$H$6)</f>
        <v/>
      </c>
      <c r="Q559" s="30"/>
      <c r="R559" s="30" t="str">
        <f>IF(B559=0,"",(((1/12)*'Imperial Data'!$AC$5*'Imperial Data'!$AC$7)-D559)*$H$6)</f>
        <v/>
      </c>
      <c r="S559" s="30"/>
      <c r="T559" s="30"/>
      <c r="U559" s="30"/>
      <c r="V559" s="30"/>
      <c r="W559" s="30" t="str">
        <f t="shared" si="72"/>
        <v/>
      </c>
      <c r="X559" s="31"/>
      <c r="Y559" s="30" t="str">
        <f t="shared" si="73"/>
        <v/>
      </c>
    </row>
    <row r="560" spans="2:25" x14ac:dyDescent="0.2">
      <c r="B560" s="34"/>
      <c r="C560" s="30" t="str">
        <f>IF(B560=0,"",IF('Imperial Data'!AG549&gt;=1, INDEX(Imperial_Incremental[], MATCH('Imperial Data'!AG549, Imperial_Incremental[Height], 1), MATCH('Cumulative Volumes Imperial'!$F$4, Imperial_Incremental[#Headers], 0)), 0))</f>
        <v/>
      </c>
      <c r="D560" s="30" t="str">
        <f>IF(B560=0,"",IF('Imperial Data'!AG549&gt;=1, INDEX(Imperial_Incremental[], MATCH('Imperial Data'!AG549, Imperial_Incremental[Height], 1), MATCH('Cumulative Volumes Imperial'!$F$4 &amp; "EC", Imperial_Incremental[#Headers], 0)), 0))</f>
        <v/>
      </c>
      <c r="E560" s="30"/>
      <c r="F560" s="30"/>
      <c r="G560" s="30"/>
      <c r="H560" s="30"/>
      <c r="I560" s="30"/>
      <c r="J560" s="30" t="str">
        <f>IF(B560="","",IF('Cumulative Volumes Imperial'!$AQ$17=FALSE,L560,K560))</f>
        <v/>
      </c>
      <c r="K560" s="30"/>
      <c r="L560" s="30"/>
      <c r="M560" s="30"/>
      <c r="N560" s="30"/>
      <c r="O560" s="30"/>
      <c r="P560" s="30" t="str">
        <f>IF(B560=0,"",(((1/12)*'Imperial Data'!$AC$4*'Imperial Data'!$AC$5)-C560)*$H$6)</f>
        <v/>
      </c>
      <c r="Q560" s="30"/>
      <c r="R560" s="30" t="str">
        <f>IF(B560=0,"",(((1/12)*'Imperial Data'!$AC$5*'Imperial Data'!$AC$7)-D560)*$H$6)</f>
        <v/>
      </c>
      <c r="S560" s="30"/>
      <c r="T560" s="30"/>
      <c r="U560" s="30"/>
      <c r="V560" s="30"/>
      <c r="W560" s="30" t="str">
        <f t="shared" si="72"/>
        <v/>
      </c>
      <c r="X560" s="31"/>
      <c r="Y560" s="30" t="str">
        <f t="shared" si="73"/>
        <v/>
      </c>
    </row>
    <row r="561" spans="2:25" x14ac:dyDescent="0.2">
      <c r="B561" s="34"/>
      <c r="C561" s="30" t="str">
        <f>IF(B561=0,"",IF('Imperial Data'!AG550&gt;=1, INDEX(Imperial_Incremental[], MATCH('Imperial Data'!AG550, Imperial_Incremental[Height], 1), MATCH('Cumulative Volumes Imperial'!$F$4, Imperial_Incremental[#Headers], 0)), 0))</f>
        <v/>
      </c>
      <c r="D561" s="30" t="str">
        <f>IF(B561=0,"",IF('Imperial Data'!AG550&gt;=1, INDEX(Imperial_Incremental[], MATCH('Imperial Data'!AG550, Imperial_Incremental[Height], 1), MATCH('Cumulative Volumes Imperial'!$F$4 &amp; "EC", Imperial_Incremental[#Headers], 0)), 0))</f>
        <v/>
      </c>
      <c r="E561" s="30"/>
      <c r="F561" s="30"/>
      <c r="G561" s="30"/>
      <c r="H561" s="30"/>
      <c r="I561" s="30"/>
      <c r="J561" s="30" t="str">
        <f>IF(B561="","",IF('Cumulative Volumes Imperial'!$AQ$17=FALSE,L561,K561))</f>
        <v/>
      </c>
      <c r="K561" s="30"/>
      <c r="L561" s="30"/>
      <c r="M561" s="30"/>
      <c r="N561" s="30"/>
      <c r="O561" s="30"/>
      <c r="P561" s="30" t="str">
        <f>IF(B561=0,"",(((1/12)*'Imperial Data'!$AC$4*'Imperial Data'!$AC$5)-C561)*$H$6)</f>
        <v/>
      </c>
      <c r="Q561" s="30"/>
      <c r="R561" s="30" t="str">
        <f>IF(B561=0,"",(((1/12)*'Imperial Data'!$AC$5*'Imperial Data'!$AC$7)-D561)*$H$6)</f>
        <v/>
      </c>
      <c r="S561" s="30"/>
      <c r="T561" s="30"/>
      <c r="U561" s="30"/>
      <c r="V561" s="30"/>
      <c r="W561" s="30" t="str">
        <f t="shared" si="72"/>
        <v/>
      </c>
      <c r="X561" s="31"/>
      <c r="Y561" s="30" t="str">
        <f t="shared" si="73"/>
        <v/>
      </c>
    </row>
    <row r="562" spans="2:25" x14ac:dyDescent="0.2">
      <c r="B562" s="34"/>
      <c r="C562" s="30" t="str">
        <f>IF(B562=0,"",IF('Imperial Data'!AG551&gt;=1, INDEX(Imperial_Incremental[], MATCH('Imperial Data'!AG551, Imperial_Incremental[Height], 1), MATCH('Cumulative Volumes Imperial'!$F$4, Imperial_Incremental[#Headers], 0)), 0))</f>
        <v/>
      </c>
      <c r="D562" s="30" t="str">
        <f>IF(B562=0,"",IF('Imperial Data'!AG551&gt;=1, INDEX(Imperial_Incremental[], MATCH('Imperial Data'!AG551, Imperial_Incremental[Height], 1), MATCH('Cumulative Volumes Imperial'!$F$4 &amp; "EC", Imperial_Incremental[#Headers], 0)), 0))</f>
        <v/>
      </c>
      <c r="E562" s="30"/>
      <c r="F562" s="30"/>
      <c r="G562" s="30"/>
      <c r="H562" s="30"/>
      <c r="I562" s="30"/>
      <c r="J562" s="30" t="str">
        <f>IF(B562="","",IF('Cumulative Volumes Imperial'!$AQ$17=FALSE,L562,K562))</f>
        <v/>
      </c>
      <c r="K562" s="30"/>
      <c r="L562" s="30"/>
      <c r="M562" s="30"/>
      <c r="N562" s="30"/>
      <c r="O562" s="30"/>
      <c r="P562" s="30" t="str">
        <f>IF(B562=0,"",(((1/12)*'Imperial Data'!$AC$4*'Imperial Data'!$AC$5)-C562)*$H$6)</f>
        <v/>
      </c>
      <c r="Q562" s="30"/>
      <c r="R562" s="30" t="str">
        <f>IF(B562=0,"",(((1/12)*'Imperial Data'!$AC$5*'Imperial Data'!$AC$7)-D562)*$H$6)</f>
        <v/>
      </c>
      <c r="S562" s="30"/>
      <c r="T562" s="30"/>
      <c r="U562" s="30"/>
      <c r="V562" s="30"/>
      <c r="W562" s="30" t="str">
        <f t="shared" si="72"/>
        <v/>
      </c>
      <c r="X562" s="31"/>
      <c r="Y562" s="30" t="str">
        <f t="shared" si="73"/>
        <v/>
      </c>
    </row>
    <row r="563" spans="2:25" x14ac:dyDescent="0.2">
      <c r="B563" s="34"/>
      <c r="C563" s="30" t="str">
        <f>IF(B563=0,"",IF('Imperial Data'!AG552&gt;=1, INDEX(Imperial_Incremental[], MATCH('Imperial Data'!AG552, Imperial_Incremental[Height], 1), MATCH('Cumulative Volumes Imperial'!$F$4, Imperial_Incremental[#Headers], 0)), 0))</f>
        <v/>
      </c>
      <c r="D563" s="30" t="str">
        <f>IF(B563=0,"",IF('Imperial Data'!AG552&gt;=1, INDEX(Imperial_Incremental[], MATCH('Imperial Data'!AG552, Imperial_Incremental[Height], 1), MATCH('Cumulative Volumes Imperial'!$F$4 &amp; "EC", Imperial_Incremental[#Headers], 0)), 0))</f>
        <v/>
      </c>
      <c r="E563" s="30"/>
      <c r="F563" s="30"/>
      <c r="G563" s="30"/>
      <c r="H563" s="30"/>
      <c r="I563" s="30"/>
      <c r="J563" s="30" t="str">
        <f>IF(B563="","",IF('Cumulative Volumes Imperial'!$AQ$17=FALSE,L563,K563))</f>
        <v/>
      </c>
      <c r="K563" s="30"/>
      <c r="L563" s="30"/>
      <c r="M563" s="30"/>
      <c r="N563" s="30"/>
      <c r="O563" s="30"/>
      <c r="P563" s="30" t="str">
        <f>IF(B563=0,"",(((1/12)*'Imperial Data'!$AC$4*'Imperial Data'!$AC$5)-C563)*$H$6)</f>
        <v/>
      </c>
      <c r="Q563" s="30"/>
      <c r="R563" s="30" t="str">
        <f>IF(B563=0,"",(((1/12)*'Imperial Data'!$AC$5*'Imperial Data'!$AC$7)-D563)*$H$6)</f>
        <v/>
      </c>
      <c r="S563" s="30"/>
      <c r="T563" s="30"/>
      <c r="U563" s="30"/>
      <c r="V563" s="30"/>
      <c r="W563" s="30" t="str">
        <f t="shared" si="72"/>
        <v/>
      </c>
      <c r="X563" s="31"/>
      <c r="Y563" s="30" t="str">
        <f t="shared" si="73"/>
        <v/>
      </c>
    </row>
    <row r="564" spans="2:25" x14ac:dyDescent="0.2">
      <c r="B564" s="34"/>
      <c r="C564" s="30" t="str">
        <f>IF(B564=0,"",IF('Imperial Data'!AG553&gt;=1, INDEX(Imperial_Incremental[], MATCH('Imperial Data'!AG553, Imperial_Incremental[Height], 1), MATCH('Cumulative Volumes Imperial'!$F$4, Imperial_Incremental[#Headers], 0)), 0))</f>
        <v/>
      </c>
      <c r="D564" s="30" t="str">
        <f>IF(B564=0,"",IF('Imperial Data'!AG553&gt;=1, INDEX(Imperial_Incremental[], MATCH('Imperial Data'!AG553, Imperial_Incremental[Height], 1), MATCH('Cumulative Volumes Imperial'!$F$4 &amp; "EC", Imperial_Incremental[#Headers], 0)), 0))</f>
        <v/>
      </c>
      <c r="E564" s="30"/>
      <c r="F564" s="30"/>
      <c r="G564" s="30"/>
      <c r="H564" s="30"/>
      <c r="I564" s="30"/>
      <c r="J564" s="30" t="str">
        <f>IF(B564="","",IF('Cumulative Volumes Imperial'!$AQ$17=FALSE,L564,K564))</f>
        <v/>
      </c>
      <c r="K564" s="30"/>
      <c r="L564" s="30"/>
      <c r="M564" s="30"/>
      <c r="N564" s="30"/>
      <c r="O564" s="30"/>
      <c r="P564" s="30" t="str">
        <f>IF(B564=0,"",(((1/12)*'Imperial Data'!$AC$4*'Imperial Data'!$AC$5)-C564)*$H$6)</f>
        <v/>
      </c>
      <c r="Q564" s="30"/>
      <c r="R564" s="30" t="str">
        <f>IF(B564=0,"",(((1/12)*'Imperial Data'!$AC$5*'Imperial Data'!$AC$7)-D564)*$H$6)</f>
        <v/>
      </c>
      <c r="S564" s="30"/>
      <c r="T564" s="30"/>
      <c r="U564" s="30"/>
      <c r="V564" s="30"/>
      <c r="W564" s="30" t="str">
        <f t="shared" si="72"/>
        <v/>
      </c>
      <c r="X564" s="31"/>
      <c r="Y564" s="30" t="str">
        <f t="shared" si="73"/>
        <v/>
      </c>
    </row>
    <row r="565" spans="2:25" x14ac:dyDescent="0.2">
      <c r="B565" s="34"/>
      <c r="C565" s="30" t="str">
        <f>IF(B565=0,"",IF('Imperial Data'!AG554&gt;=1, INDEX(Imperial_Incremental[], MATCH('Imperial Data'!AG554, Imperial_Incremental[Height], 1), MATCH('Cumulative Volumes Imperial'!$F$4, Imperial_Incremental[#Headers], 0)), 0))</f>
        <v/>
      </c>
      <c r="D565" s="30" t="str">
        <f>IF(B565=0,"",IF('Imperial Data'!AG554&gt;=1, INDEX(Imperial_Incremental[], MATCH('Imperial Data'!AG554, Imperial_Incremental[Height], 1), MATCH('Cumulative Volumes Imperial'!$F$4 &amp; "EC", Imperial_Incremental[#Headers], 0)), 0))</f>
        <v/>
      </c>
      <c r="E565" s="30"/>
      <c r="F565" s="30"/>
      <c r="G565" s="30"/>
      <c r="H565" s="30"/>
      <c r="I565" s="30"/>
      <c r="J565" s="30" t="str">
        <f>IF(B565="","",IF('Cumulative Volumes Imperial'!$AQ$17=FALSE,L565,K565))</f>
        <v/>
      </c>
      <c r="K565" s="30"/>
      <c r="L565" s="30"/>
      <c r="M565" s="30"/>
      <c r="N565" s="30"/>
      <c r="O565" s="30"/>
      <c r="P565" s="30" t="str">
        <f>IF(B565=0,"",(((1/12)*'Imperial Data'!$AC$4*'Imperial Data'!$AC$5)-C565)*$H$6)</f>
        <v/>
      </c>
      <c r="Q565" s="30"/>
      <c r="R565" s="30" t="str">
        <f>IF(B565=0,"",(((1/12)*'Imperial Data'!$AC$5*'Imperial Data'!$AC$7)-D565)*$H$6)</f>
        <v/>
      </c>
      <c r="S565" s="30"/>
      <c r="T565" s="30"/>
      <c r="U565" s="30"/>
      <c r="V565" s="30"/>
      <c r="W565" s="30" t="str">
        <f t="shared" si="72"/>
        <v/>
      </c>
      <c r="X565" s="31"/>
      <c r="Y565" s="30" t="str">
        <f t="shared" si="73"/>
        <v/>
      </c>
    </row>
    <row r="566" spans="2:25" x14ac:dyDescent="0.2">
      <c r="B566" s="34"/>
      <c r="C566" s="30" t="str">
        <f>IF(B566=0,"",IF('Imperial Data'!AG555&gt;=1, INDEX(Imperial_Incremental[], MATCH('Imperial Data'!AG555, Imperial_Incremental[Height], 1), MATCH('Cumulative Volumes Imperial'!$F$4, Imperial_Incremental[#Headers], 0)), 0))</f>
        <v/>
      </c>
      <c r="D566" s="30" t="str">
        <f>IF(B566=0,"",IF('Imperial Data'!AG555&gt;=1, INDEX(Imperial_Incremental[], MATCH('Imperial Data'!AG555, Imperial_Incremental[Height], 1), MATCH('Cumulative Volumes Imperial'!$F$4 &amp; "EC", Imperial_Incremental[#Headers], 0)), 0))</f>
        <v/>
      </c>
      <c r="E566" s="30"/>
      <c r="F566" s="30"/>
      <c r="G566" s="30"/>
      <c r="H566" s="30"/>
      <c r="I566" s="30"/>
      <c r="J566" s="30" t="str">
        <f>IF(B566="","",IF('Cumulative Volumes Imperial'!$AQ$17=FALSE,L566,K566))</f>
        <v/>
      </c>
      <c r="K566" s="30"/>
      <c r="L566" s="30"/>
      <c r="M566" s="30"/>
      <c r="N566" s="30"/>
      <c r="O566" s="30"/>
      <c r="P566" s="30" t="str">
        <f>IF(B566=0,"",(((1/12)*'Imperial Data'!$AC$4*'Imperial Data'!$AC$5)-C566)*$H$6)</f>
        <v/>
      </c>
      <c r="Q566" s="30"/>
      <c r="R566" s="30" t="str">
        <f>IF(B566=0,"",(((1/12)*'Imperial Data'!$AC$5*'Imperial Data'!$AC$7)-D566)*$H$6)</f>
        <v/>
      </c>
      <c r="S566" s="30"/>
      <c r="T566" s="30"/>
      <c r="U566" s="30"/>
      <c r="V566" s="30"/>
      <c r="W566" s="30" t="str">
        <f t="shared" si="72"/>
        <v/>
      </c>
      <c r="X566" s="31"/>
      <c r="Y566" s="30" t="str">
        <f t="shared" si="73"/>
        <v/>
      </c>
    </row>
    <row r="567" spans="2:25" x14ac:dyDescent="0.2">
      <c r="B567" s="34"/>
      <c r="C567" s="30" t="str">
        <f>IF(B567=0,"",IF('Imperial Data'!AG556&gt;=1, INDEX(Imperial_Incremental[], MATCH('Imperial Data'!AG556, Imperial_Incremental[Height], 1), MATCH('Cumulative Volumes Imperial'!$F$4, Imperial_Incremental[#Headers], 0)), 0))</f>
        <v/>
      </c>
      <c r="D567" s="30" t="str">
        <f>IF(B567=0,"",IF('Imperial Data'!AG556&gt;=1, INDEX(Imperial_Incremental[], MATCH('Imperial Data'!AG556, Imperial_Incremental[Height], 1), MATCH('Cumulative Volumes Imperial'!$F$4 &amp; "EC", Imperial_Incremental[#Headers], 0)), 0))</f>
        <v/>
      </c>
      <c r="E567" s="30"/>
      <c r="F567" s="30"/>
      <c r="G567" s="30"/>
      <c r="H567" s="30"/>
      <c r="I567" s="30"/>
      <c r="J567" s="30" t="str">
        <f>IF(B567="","",IF('Cumulative Volumes Imperial'!$AQ$17=FALSE,L567,K567))</f>
        <v/>
      </c>
      <c r="K567" s="30"/>
      <c r="L567" s="30"/>
      <c r="M567" s="30"/>
      <c r="N567" s="30"/>
      <c r="O567" s="30"/>
      <c r="P567" s="30" t="str">
        <f>IF(B567=0,"",(((1/12)*'Imperial Data'!$AC$4*'Imperial Data'!$AC$5)-C567)*$H$6)</f>
        <v/>
      </c>
      <c r="Q567" s="30"/>
      <c r="R567" s="30" t="str">
        <f>IF(B567=0,"",(((1/12)*'Imperial Data'!$AC$5*'Imperial Data'!$AC$7)-D567)*$H$6)</f>
        <v/>
      </c>
      <c r="S567" s="30"/>
      <c r="T567" s="30"/>
      <c r="U567" s="30"/>
      <c r="V567" s="30"/>
      <c r="W567" s="30" t="str">
        <f t="shared" si="72"/>
        <v/>
      </c>
      <c r="X567" s="31"/>
      <c r="Y567" s="30" t="str">
        <f t="shared" si="73"/>
        <v/>
      </c>
    </row>
    <row r="568" spans="2:25" x14ac:dyDescent="0.2">
      <c r="B568" s="34"/>
      <c r="C568" s="30" t="str">
        <f>IF(B568=0,"",IF('Imperial Data'!AG557&gt;=1, INDEX(Imperial_Incremental[], MATCH('Imperial Data'!AG557, Imperial_Incremental[Height], 1), MATCH('Cumulative Volumes Imperial'!$F$4, Imperial_Incremental[#Headers], 0)), 0))</f>
        <v/>
      </c>
      <c r="D568" s="30" t="str">
        <f>IF(B568=0,"",IF('Imperial Data'!AG557&gt;=1, INDEX(Imperial_Incremental[], MATCH('Imperial Data'!AG557, Imperial_Incremental[Height], 1), MATCH('Cumulative Volumes Imperial'!$F$4 &amp; "EC", Imperial_Incremental[#Headers], 0)), 0))</f>
        <v/>
      </c>
      <c r="E568" s="30"/>
      <c r="F568" s="30"/>
      <c r="G568" s="30"/>
      <c r="H568" s="30"/>
      <c r="I568" s="30"/>
      <c r="J568" s="30" t="str">
        <f>IF(B568="","",IF('Cumulative Volumes Imperial'!$AQ$17=FALSE,L568,K568))</f>
        <v/>
      </c>
      <c r="K568" s="30"/>
      <c r="L568" s="30"/>
      <c r="M568" s="30"/>
      <c r="N568" s="30"/>
      <c r="O568" s="30"/>
      <c r="P568" s="30" t="str">
        <f>IF(B568=0,"",(((1/12)*'Imperial Data'!$AC$4*'Imperial Data'!$AC$5)-C568)*$H$6)</f>
        <v/>
      </c>
      <c r="Q568" s="30"/>
      <c r="R568" s="30" t="str">
        <f>IF(B568=0,"",(((1/12)*'Imperial Data'!$AC$5*'Imperial Data'!$AC$7)-D568)*$H$6)</f>
        <v/>
      </c>
      <c r="S568" s="30"/>
      <c r="T568" s="30"/>
      <c r="U568" s="30"/>
      <c r="V568" s="30"/>
      <c r="W568" s="30" t="str">
        <f t="shared" si="72"/>
        <v/>
      </c>
      <c r="X568" s="31"/>
      <c r="Y568" s="30" t="str">
        <f t="shared" si="73"/>
        <v/>
      </c>
    </row>
    <row r="569" spans="2:25" x14ac:dyDescent="0.2">
      <c r="B569" s="34"/>
      <c r="C569" s="30" t="str">
        <f>IF(B569=0,"",IF('Imperial Data'!AG558&gt;=1, INDEX(Imperial_Incremental[], MATCH('Imperial Data'!AG558, Imperial_Incremental[Height], 1), MATCH('Cumulative Volumes Imperial'!$F$4, Imperial_Incremental[#Headers], 0)), 0))</f>
        <v/>
      </c>
      <c r="D569" s="30" t="str">
        <f>IF(B569=0,"",IF('Imperial Data'!AG558&gt;=1, INDEX(Imperial_Incremental[], MATCH('Imperial Data'!AG558, Imperial_Incremental[Height], 1), MATCH('Cumulative Volumes Imperial'!$F$4 &amp; "EC", Imperial_Incremental[#Headers], 0)), 0))</f>
        <v/>
      </c>
      <c r="E569" s="30"/>
      <c r="F569" s="30"/>
      <c r="G569" s="30"/>
      <c r="H569" s="30"/>
      <c r="I569" s="30"/>
      <c r="J569" s="30" t="str">
        <f>IF(B569="","",IF('Cumulative Volumes Imperial'!$AQ$17=FALSE,L569,K569))</f>
        <v/>
      </c>
      <c r="K569" s="30"/>
      <c r="L569" s="30"/>
      <c r="M569" s="30"/>
      <c r="N569" s="30"/>
      <c r="O569" s="30"/>
      <c r="P569" s="30" t="str">
        <f>IF(B569=0,"",(((1/12)*'Imperial Data'!$AC$4*'Imperial Data'!$AC$5)-C569)*$H$6)</f>
        <v/>
      </c>
      <c r="Q569" s="30"/>
      <c r="R569" s="30" t="str">
        <f>IF(B569=0,"",(((1/12)*'Imperial Data'!$AC$5*'Imperial Data'!$AC$7)-D569)*$H$6)</f>
        <v/>
      </c>
      <c r="S569" s="30"/>
      <c r="T569" s="30"/>
      <c r="U569" s="30"/>
      <c r="V569" s="30"/>
      <c r="W569" s="30" t="str">
        <f t="shared" si="72"/>
        <v/>
      </c>
      <c r="X569" s="31"/>
      <c r="Y569" s="30" t="str">
        <f t="shared" si="73"/>
        <v/>
      </c>
    </row>
    <row r="570" spans="2:25" x14ac:dyDescent="0.2">
      <c r="B570" s="34"/>
      <c r="C570" s="30" t="str">
        <f>IF(B570=0,"",IF('Imperial Data'!AG559&gt;=1, INDEX(Imperial_Incremental[], MATCH('Imperial Data'!AG559, Imperial_Incremental[Height], 1), MATCH('Cumulative Volumes Imperial'!$F$4, Imperial_Incremental[#Headers], 0)), 0))</f>
        <v/>
      </c>
      <c r="D570" s="30" t="str">
        <f>IF(B570=0,"",IF('Imperial Data'!AG559&gt;=1, INDEX(Imperial_Incremental[], MATCH('Imperial Data'!AG559, Imperial_Incremental[Height], 1), MATCH('Cumulative Volumes Imperial'!$F$4 &amp; "EC", Imperial_Incremental[#Headers], 0)), 0))</f>
        <v/>
      </c>
      <c r="E570" s="30"/>
      <c r="F570" s="30"/>
      <c r="G570" s="30"/>
      <c r="H570" s="30"/>
      <c r="I570" s="30"/>
      <c r="J570" s="30" t="str">
        <f>IF(B570="","",IF('Cumulative Volumes Imperial'!$AQ$17=FALSE,L570,K570))</f>
        <v/>
      </c>
      <c r="K570" s="30"/>
      <c r="L570" s="30"/>
      <c r="M570" s="30"/>
      <c r="N570" s="30"/>
      <c r="O570" s="30"/>
      <c r="P570" s="30" t="str">
        <f>IF(B570=0,"",(((1/12)*'Imperial Data'!$AC$4*'Imperial Data'!$AC$5)-C570)*$H$6)</f>
        <v/>
      </c>
      <c r="Q570" s="30"/>
      <c r="R570" s="30" t="str">
        <f>IF(B570=0,"",(((1/12)*'Imperial Data'!$AC$5*'Imperial Data'!$AC$7)-D570)*$H$6)</f>
        <v/>
      </c>
      <c r="S570" s="30"/>
      <c r="T570" s="30"/>
      <c r="U570" s="30"/>
      <c r="V570" s="30"/>
      <c r="W570" s="30" t="str">
        <f t="shared" si="72"/>
        <v/>
      </c>
      <c r="X570" s="31"/>
      <c r="Y570" s="30" t="str">
        <f t="shared" si="73"/>
        <v/>
      </c>
    </row>
    <row r="571" spans="2:25" x14ac:dyDescent="0.2">
      <c r="B571" s="34"/>
      <c r="C571" s="30" t="str">
        <f>IF(B571=0,"",IF('Imperial Data'!AG560&gt;=1, INDEX(Imperial_Incremental[], MATCH('Imperial Data'!AG560, Imperial_Incremental[Height], 1), MATCH('Cumulative Volumes Imperial'!$F$4, Imperial_Incremental[#Headers], 0)), 0))</f>
        <v/>
      </c>
      <c r="D571" s="30" t="str">
        <f>IF(B571=0,"",IF('Imperial Data'!AG560&gt;=1, INDEX(Imperial_Incremental[], MATCH('Imperial Data'!AG560, Imperial_Incremental[Height], 1), MATCH('Cumulative Volumes Imperial'!$F$4 &amp; "EC", Imperial_Incremental[#Headers], 0)), 0))</f>
        <v/>
      </c>
      <c r="E571" s="30"/>
      <c r="F571" s="30"/>
      <c r="G571" s="30"/>
      <c r="H571" s="30"/>
      <c r="I571" s="30"/>
      <c r="J571" s="30" t="str">
        <f>IF(B571="","",IF('Cumulative Volumes Imperial'!$AQ$17=FALSE,L571,K571))</f>
        <v/>
      </c>
      <c r="K571" s="30"/>
      <c r="L571" s="30"/>
      <c r="M571" s="30"/>
      <c r="N571" s="30"/>
      <c r="O571" s="30"/>
      <c r="P571" s="30" t="str">
        <f>IF(B571=0,"",(((1/12)*'Imperial Data'!$AC$4*'Imperial Data'!$AC$5)-C571)*$H$6)</f>
        <v/>
      </c>
      <c r="Q571" s="30"/>
      <c r="R571" s="30" t="str">
        <f>IF(B571=0,"",(((1/12)*'Imperial Data'!$AC$5*'Imperial Data'!$AC$7)-D571)*$H$6)</f>
        <v/>
      </c>
      <c r="S571" s="30"/>
      <c r="T571" s="30"/>
      <c r="U571" s="30"/>
      <c r="V571" s="30"/>
      <c r="W571" s="30" t="str">
        <f t="shared" si="72"/>
        <v/>
      </c>
      <c r="X571" s="31"/>
      <c r="Y571" s="30" t="str">
        <f t="shared" si="73"/>
        <v/>
      </c>
    </row>
    <row r="572" spans="2:25" x14ac:dyDescent="0.2">
      <c r="B572" s="34"/>
      <c r="C572" s="30" t="str">
        <f>IF(B572=0,"",IF('Imperial Data'!AG561&gt;=1, INDEX(Imperial_Incremental[], MATCH('Imperial Data'!AG561, Imperial_Incremental[Height], 1), MATCH('Cumulative Volumes Imperial'!$F$4, Imperial_Incremental[#Headers], 0)), 0))</f>
        <v/>
      </c>
      <c r="D572" s="30" t="str">
        <f>IF(B572=0,"",IF('Imperial Data'!AG561&gt;=1, INDEX(Imperial_Incremental[], MATCH('Imperial Data'!AG561, Imperial_Incremental[Height], 1), MATCH('Cumulative Volumes Imperial'!$F$4 &amp; "EC", Imperial_Incremental[#Headers], 0)), 0))</f>
        <v/>
      </c>
      <c r="E572" s="30"/>
      <c r="F572" s="30"/>
      <c r="G572" s="30"/>
      <c r="H572" s="30"/>
      <c r="I572" s="30"/>
      <c r="J572" s="30" t="str">
        <f>IF(B572="","",IF('Cumulative Volumes Imperial'!$AQ$17=FALSE,L572,K572))</f>
        <v/>
      </c>
      <c r="K572" s="30"/>
      <c r="L572" s="30"/>
      <c r="M572" s="30"/>
      <c r="N572" s="30"/>
      <c r="O572" s="30"/>
      <c r="P572" s="30" t="str">
        <f>IF(B572=0,"",(((1/12)*'Imperial Data'!$AC$4*'Imperial Data'!$AC$5)-C572)*$H$6)</f>
        <v/>
      </c>
      <c r="Q572" s="30"/>
      <c r="R572" s="30" t="str">
        <f>IF(B572=0,"",(((1/12)*'Imperial Data'!$AC$5*'Imperial Data'!$AC$7)-D572)*$H$6)</f>
        <v/>
      </c>
      <c r="S572" s="30"/>
      <c r="T572" s="30"/>
      <c r="U572" s="30"/>
      <c r="V572" s="30"/>
      <c r="W572" s="30" t="str">
        <f t="shared" si="72"/>
        <v/>
      </c>
      <c r="X572" s="31"/>
      <c r="Y572" s="30" t="str">
        <f t="shared" si="73"/>
        <v/>
      </c>
    </row>
    <row r="573" spans="2:25" x14ac:dyDescent="0.2">
      <c r="B573" s="34"/>
      <c r="C573" s="30" t="str">
        <f>IF(B573=0,"",IF('Imperial Data'!AG562&gt;=1, INDEX(Imperial_Incremental[], MATCH('Imperial Data'!AG562, Imperial_Incremental[Height], 1), MATCH('Cumulative Volumes Imperial'!$F$4, Imperial_Incremental[#Headers], 0)), 0))</f>
        <v/>
      </c>
      <c r="D573" s="30" t="str">
        <f>IF(B573=0,"",IF('Imperial Data'!AG562&gt;=1, INDEX(Imperial_Incremental[], MATCH('Imperial Data'!AG562, Imperial_Incremental[Height], 1), MATCH('Cumulative Volumes Imperial'!$F$4 &amp; "EC", Imperial_Incremental[#Headers], 0)), 0))</f>
        <v/>
      </c>
      <c r="E573" s="30"/>
      <c r="F573" s="30"/>
      <c r="G573" s="30"/>
      <c r="H573" s="30"/>
      <c r="I573" s="30"/>
      <c r="J573" s="30" t="str">
        <f>IF(B573="","",IF('Cumulative Volumes Imperial'!$AQ$17=FALSE,L573,K573))</f>
        <v/>
      </c>
      <c r="K573" s="30"/>
      <c r="L573" s="30"/>
      <c r="M573" s="30"/>
      <c r="N573" s="30"/>
      <c r="O573" s="30"/>
      <c r="P573" s="30" t="str">
        <f>IF(B573=0,"",(((1/12)*'Imperial Data'!$AC$4*'Imperial Data'!$AC$5)-C573)*$H$6)</f>
        <v/>
      </c>
      <c r="Q573" s="30"/>
      <c r="R573" s="30" t="str">
        <f>IF(B573=0,"",(((1/12)*'Imperial Data'!$AC$5*'Imperial Data'!$AC$7)-D573)*$H$6)</f>
        <v/>
      </c>
      <c r="S573" s="30"/>
      <c r="T573" s="30"/>
      <c r="U573" s="30"/>
      <c r="V573" s="30"/>
      <c r="W573" s="30" t="str">
        <f t="shared" si="72"/>
        <v/>
      </c>
      <c r="X573" s="31"/>
      <c r="Y573" s="30" t="str">
        <f t="shared" si="73"/>
        <v/>
      </c>
    </row>
    <row r="574" spans="2:25" x14ac:dyDescent="0.2">
      <c r="B574" s="34"/>
      <c r="C574" s="30" t="str">
        <f>IF(B574=0,"",IF('Imperial Data'!AG563&gt;=1, INDEX(Imperial_Incremental[], MATCH('Imperial Data'!AG563, Imperial_Incremental[Height], 1), MATCH('Cumulative Volumes Imperial'!$F$4, Imperial_Incremental[#Headers], 0)), 0))</f>
        <v/>
      </c>
      <c r="D574" s="30" t="str">
        <f>IF(B574=0,"",IF('Imperial Data'!AG563&gt;=1, INDEX(Imperial_Incremental[], MATCH('Imperial Data'!AG563, Imperial_Incremental[Height], 1), MATCH('Cumulative Volumes Imperial'!$F$4 &amp; "EC", Imperial_Incremental[#Headers], 0)), 0))</f>
        <v/>
      </c>
      <c r="E574" s="30"/>
      <c r="F574" s="30"/>
      <c r="G574" s="30"/>
      <c r="H574" s="30"/>
      <c r="I574" s="30"/>
      <c r="J574" s="30" t="str">
        <f>IF(B574="","",IF('Cumulative Volumes Imperial'!$AQ$17=FALSE,L574,K574))</f>
        <v/>
      </c>
      <c r="K574" s="30"/>
      <c r="L574" s="30"/>
      <c r="M574" s="30"/>
      <c r="N574" s="30"/>
      <c r="O574" s="30"/>
      <c r="P574" s="30" t="str">
        <f>IF(B574=0,"",(((1/12)*'Imperial Data'!$AC$4*'Imperial Data'!$AC$5)-C574)*$H$6)</f>
        <v/>
      </c>
      <c r="Q574" s="30"/>
      <c r="R574" s="30" t="str">
        <f>IF(B574=0,"",(((1/12)*'Imperial Data'!$AC$5*'Imperial Data'!$AC$7)-D574)*$H$6)</f>
        <v/>
      </c>
      <c r="S574" s="30"/>
      <c r="T574" s="30"/>
      <c r="U574" s="30"/>
      <c r="V574" s="30"/>
      <c r="W574" s="30" t="str">
        <f t="shared" si="72"/>
        <v/>
      </c>
      <c r="X574" s="31"/>
      <c r="Y574" s="30" t="str">
        <f t="shared" si="73"/>
        <v/>
      </c>
    </row>
    <row r="575" spans="2:25" x14ac:dyDescent="0.2">
      <c r="B575" s="34"/>
      <c r="C575" s="30" t="str">
        <f>IF(B575=0,"",IF('Imperial Data'!AG564&gt;=1, INDEX(Imperial_Incremental[], MATCH('Imperial Data'!AG564, Imperial_Incremental[Height], 1), MATCH('Cumulative Volumes Imperial'!$F$4, Imperial_Incremental[#Headers], 0)), 0))</f>
        <v/>
      </c>
      <c r="D575" s="30" t="str">
        <f>IF(B575=0,"",IF('Imperial Data'!AG564&gt;=1, INDEX(Imperial_Incremental[], MATCH('Imperial Data'!AG564, Imperial_Incremental[Height], 1), MATCH('Cumulative Volumes Imperial'!$F$4 &amp; "EC", Imperial_Incremental[#Headers], 0)), 0))</f>
        <v/>
      </c>
      <c r="E575" s="30"/>
      <c r="F575" s="30"/>
      <c r="G575" s="30"/>
      <c r="H575" s="30"/>
      <c r="I575" s="30"/>
      <c r="J575" s="30" t="str">
        <f>IF(B575="","",IF('Cumulative Volumes Imperial'!$AQ$17=FALSE,L575,K575))</f>
        <v/>
      </c>
      <c r="K575" s="30"/>
      <c r="L575" s="30"/>
      <c r="M575" s="30"/>
      <c r="N575" s="30"/>
      <c r="O575" s="30"/>
      <c r="P575" s="30" t="str">
        <f>IF(B575=0,"",(((1/12)*'Imperial Data'!$AC$4*'Imperial Data'!$AC$5)-C575)*$H$6)</f>
        <v/>
      </c>
      <c r="Q575" s="30"/>
      <c r="R575" s="30" t="str">
        <f>IF(B575=0,"",(((1/12)*'Imperial Data'!$AC$5*'Imperial Data'!$AC$7)-D575)*$H$6)</f>
        <v/>
      </c>
      <c r="S575" s="30"/>
      <c r="T575" s="30"/>
      <c r="U575" s="30"/>
      <c r="V575" s="30"/>
      <c r="W575" s="30" t="str">
        <f t="shared" si="72"/>
        <v/>
      </c>
      <c r="X575" s="31"/>
      <c r="Y575" s="30" t="str">
        <f t="shared" si="73"/>
        <v/>
      </c>
    </row>
    <row r="576" spans="2:25" x14ac:dyDescent="0.2">
      <c r="B576" s="34"/>
      <c r="C576" s="30" t="str">
        <f>IF(B576=0,"",IF('Imperial Data'!AG565&gt;=1, INDEX(Imperial_Incremental[], MATCH('Imperial Data'!AG565, Imperial_Incremental[Height], 1), MATCH('Cumulative Volumes Imperial'!$F$4, Imperial_Incremental[#Headers], 0)), 0))</f>
        <v/>
      </c>
      <c r="D576" s="30" t="str">
        <f>IF(B576=0,"",IF('Imperial Data'!AG565&gt;=1, INDEX(Imperial_Incremental[], MATCH('Imperial Data'!AG565, Imperial_Incremental[Height], 1), MATCH('Cumulative Volumes Imperial'!$F$4 &amp; "EC", Imperial_Incremental[#Headers], 0)), 0))</f>
        <v/>
      </c>
      <c r="E576" s="30"/>
      <c r="F576" s="30"/>
      <c r="G576" s="30"/>
      <c r="H576" s="30"/>
      <c r="I576" s="30"/>
      <c r="J576" s="30" t="str">
        <f>IF(B576="","",IF('Cumulative Volumes Imperial'!$AQ$17=FALSE,L576,K576))</f>
        <v/>
      </c>
      <c r="K576" s="30"/>
      <c r="L576" s="30"/>
      <c r="M576" s="30"/>
      <c r="N576" s="30"/>
      <c r="O576" s="30"/>
      <c r="P576" s="30" t="str">
        <f>IF(B576=0,"",(((1/12)*'Imperial Data'!$AC$4*'Imperial Data'!$AC$5)-C576)*$H$6)</f>
        <v/>
      </c>
      <c r="Q576" s="30"/>
      <c r="R576" s="30" t="str">
        <f>IF(B576=0,"",(((1/12)*'Imperial Data'!$AC$5*'Imperial Data'!$AC$7)-D576)*$H$6)</f>
        <v/>
      </c>
      <c r="S576" s="30"/>
      <c r="T576" s="30"/>
      <c r="U576" s="30"/>
      <c r="V576" s="30"/>
      <c r="W576" s="30" t="str">
        <f t="shared" si="72"/>
        <v/>
      </c>
      <c r="X576" s="31"/>
      <c r="Y576" s="30" t="str">
        <f t="shared" si="73"/>
        <v/>
      </c>
    </row>
    <row r="577" spans="2:25" x14ac:dyDescent="0.2">
      <c r="B577" s="34"/>
      <c r="C577" s="30" t="str">
        <f>IF(B577=0,"",IF('Imperial Data'!AG566&gt;=1, INDEX(Imperial_Incremental[], MATCH('Imperial Data'!AG566, Imperial_Incremental[Height], 1), MATCH('Cumulative Volumes Imperial'!$F$4, Imperial_Incremental[#Headers], 0)), 0))</f>
        <v/>
      </c>
      <c r="D577" s="30" t="str">
        <f>IF(B577=0,"",IF('Imperial Data'!AG566&gt;=1, INDEX(Imperial_Incremental[], MATCH('Imperial Data'!AG566, Imperial_Incremental[Height], 1), MATCH('Cumulative Volumes Imperial'!$F$4 &amp; "EC", Imperial_Incremental[#Headers], 0)), 0))</f>
        <v/>
      </c>
      <c r="E577" s="30"/>
      <c r="F577" s="30"/>
      <c r="G577" s="30"/>
      <c r="H577" s="30"/>
      <c r="I577" s="30"/>
      <c r="J577" s="30" t="str">
        <f>IF(B577="","",IF('Cumulative Volumes Imperial'!$AQ$17=FALSE,L577,K577))</f>
        <v/>
      </c>
      <c r="K577" s="30"/>
      <c r="L577" s="30"/>
      <c r="M577" s="30"/>
      <c r="N577" s="30"/>
      <c r="O577" s="30"/>
      <c r="P577" s="30" t="str">
        <f>IF(B577=0,"",(((1/12)*'Imperial Data'!$AC$4*'Imperial Data'!$AC$5)-C577)*$H$6)</f>
        <v/>
      </c>
      <c r="Q577" s="30"/>
      <c r="R577" s="30" t="str">
        <f>IF(B577=0,"",(((1/12)*'Imperial Data'!$AC$5*'Imperial Data'!$AC$7)-D577)*$H$6)</f>
        <v/>
      </c>
      <c r="S577" s="30"/>
      <c r="T577" s="30"/>
      <c r="U577" s="30"/>
      <c r="V577" s="30"/>
      <c r="W577" s="30" t="str">
        <f t="shared" si="72"/>
        <v/>
      </c>
      <c r="X577" s="31"/>
      <c r="Y577" s="30" t="str">
        <f t="shared" si="73"/>
        <v/>
      </c>
    </row>
    <row r="578" spans="2:25" x14ac:dyDescent="0.2">
      <c r="B578" s="34"/>
      <c r="C578" s="30" t="str">
        <f>IF(B578=0,"",IF('Imperial Data'!AG567&gt;=1, INDEX(Imperial_Incremental[], MATCH('Imperial Data'!AG567, Imperial_Incremental[Height], 1), MATCH('Cumulative Volumes Imperial'!$F$4, Imperial_Incremental[#Headers], 0)), 0))</f>
        <v/>
      </c>
      <c r="D578" s="30" t="str">
        <f>IF(B578=0,"",IF('Imperial Data'!AG567&gt;=1, INDEX(Imperial_Incremental[], MATCH('Imperial Data'!AG567, Imperial_Incremental[Height], 1), MATCH('Cumulative Volumes Imperial'!$F$4 &amp; "EC", Imperial_Incremental[#Headers], 0)), 0))</f>
        <v/>
      </c>
      <c r="E578" s="30"/>
      <c r="F578" s="30"/>
      <c r="G578" s="30"/>
      <c r="H578" s="30"/>
      <c r="I578" s="30"/>
      <c r="J578" s="30" t="str">
        <f>IF(B578="","",IF('Cumulative Volumes Imperial'!$AQ$17=FALSE,L578,K578))</f>
        <v/>
      </c>
      <c r="K578" s="30"/>
      <c r="L578" s="30"/>
      <c r="M578" s="30"/>
      <c r="N578" s="30"/>
      <c r="O578" s="30"/>
      <c r="P578" s="30" t="str">
        <f>IF(B578=0,"",(((1/12)*'Imperial Data'!$AC$4*'Imperial Data'!$AC$5)-C578)*$H$6)</f>
        <v/>
      </c>
      <c r="Q578" s="30"/>
      <c r="R578" s="30" t="str">
        <f>IF(B578=0,"",(((1/12)*'Imperial Data'!$AC$5*'Imperial Data'!$AC$7)-D578)*$H$6)</f>
        <v/>
      </c>
      <c r="S578" s="30"/>
      <c r="T578" s="30"/>
      <c r="U578" s="30"/>
      <c r="V578" s="30"/>
      <c r="W578" s="30" t="str">
        <f t="shared" si="72"/>
        <v/>
      </c>
      <c r="X578" s="31"/>
      <c r="Y578" s="30" t="str">
        <f t="shared" si="73"/>
        <v/>
      </c>
    </row>
    <row r="579" spans="2:25" x14ac:dyDescent="0.2">
      <c r="B579" s="34"/>
      <c r="C579" s="30" t="str">
        <f>IF(B579=0,"",IF('Imperial Data'!AG568&gt;=1, INDEX(Imperial_Incremental[], MATCH('Imperial Data'!AG568, Imperial_Incremental[Height], 1), MATCH('Cumulative Volumes Imperial'!$F$4, Imperial_Incremental[#Headers], 0)), 0))</f>
        <v/>
      </c>
      <c r="D579" s="30" t="str">
        <f>IF(B579=0,"",IF('Imperial Data'!AG568&gt;=1, INDEX(Imperial_Incremental[], MATCH('Imperial Data'!AG568, Imperial_Incremental[Height], 1), MATCH('Cumulative Volumes Imperial'!$F$4 &amp; "EC", Imperial_Incremental[#Headers], 0)), 0))</f>
        <v/>
      </c>
      <c r="E579" s="30"/>
      <c r="F579" s="30"/>
      <c r="G579" s="30"/>
      <c r="H579" s="30"/>
      <c r="I579" s="30"/>
      <c r="J579" s="30" t="str">
        <f>IF(B579="","",IF('Cumulative Volumes Imperial'!$AQ$17=FALSE,L579,K579))</f>
        <v/>
      </c>
      <c r="K579" s="30"/>
      <c r="L579" s="30"/>
      <c r="M579" s="30"/>
      <c r="N579" s="30"/>
      <c r="O579" s="30"/>
      <c r="P579" s="30" t="str">
        <f>IF(B579=0,"",(((1/12)*'Imperial Data'!$AC$4*'Imperial Data'!$AC$5)-C579)*$H$6)</f>
        <v/>
      </c>
      <c r="Q579" s="30"/>
      <c r="R579" s="30" t="str">
        <f>IF(B579=0,"",(((1/12)*'Imperial Data'!$AC$5*'Imperial Data'!$AC$7)-D579)*$H$6)</f>
        <v/>
      </c>
      <c r="S579" s="30"/>
      <c r="T579" s="30"/>
      <c r="U579" s="30"/>
      <c r="V579" s="30"/>
      <c r="W579" s="30" t="str">
        <f t="shared" si="72"/>
        <v/>
      </c>
      <c r="X579" s="31"/>
      <c r="Y579" s="30" t="str">
        <f t="shared" si="73"/>
        <v/>
      </c>
    </row>
    <row r="580" spans="2:25" x14ac:dyDescent="0.2">
      <c r="B580" s="34"/>
      <c r="C580" s="30" t="str">
        <f>IF(B580=0,"",IF('Imperial Data'!AG569&gt;=1, INDEX(Imperial_Incremental[], MATCH('Imperial Data'!AG569, Imperial_Incremental[Height], 1), MATCH('Cumulative Volumes Imperial'!$F$4, Imperial_Incremental[#Headers], 0)), 0))</f>
        <v/>
      </c>
      <c r="D580" s="30" t="str">
        <f>IF(B580=0,"",IF('Imperial Data'!AG569&gt;=1, INDEX(Imperial_Incremental[], MATCH('Imperial Data'!AG569, Imperial_Incremental[Height], 1), MATCH('Cumulative Volumes Imperial'!$F$4 &amp; "EC", Imperial_Incremental[#Headers], 0)), 0))</f>
        <v/>
      </c>
      <c r="E580" s="30"/>
      <c r="F580" s="30"/>
      <c r="G580" s="30"/>
      <c r="H580" s="30"/>
      <c r="I580" s="30"/>
      <c r="J580" s="30" t="str">
        <f>IF(B580="","",IF('Cumulative Volumes Imperial'!$AQ$17=FALSE,L580,K580))</f>
        <v/>
      </c>
      <c r="K580" s="30"/>
      <c r="L580" s="30"/>
      <c r="M580" s="30"/>
      <c r="N580" s="30"/>
      <c r="O580" s="30"/>
      <c r="P580" s="30" t="str">
        <f>IF(B580=0,"",(((1/12)*'Imperial Data'!$AC$4*'Imperial Data'!$AC$5)-C580)*$H$6)</f>
        <v/>
      </c>
      <c r="Q580" s="30"/>
      <c r="R580" s="30" t="str">
        <f>IF(B580=0,"",(((1/12)*'Imperial Data'!$AC$5*'Imperial Data'!$AC$7)-D580)*$H$6)</f>
        <v/>
      </c>
      <c r="S580" s="30"/>
      <c r="T580" s="30"/>
      <c r="U580" s="30"/>
      <c r="V580" s="30"/>
      <c r="W580" s="30" t="str">
        <f t="shared" si="72"/>
        <v/>
      </c>
      <c r="X580" s="31"/>
      <c r="Y580" s="30" t="str">
        <f t="shared" si="73"/>
        <v/>
      </c>
    </row>
    <row r="581" spans="2:25" x14ac:dyDescent="0.2">
      <c r="B581" s="34"/>
      <c r="C581" s="30" t="str">
        <f>IF(B581=0,"",IF('Imperial Data'!AG570&gt;=1, INDEX(Imperial_Incremental[], MATCH('Imperial Data'!AG570, Imperial_Incremental[Height], 1), MATCH('Cumulative Volumes Imperial'!$F$4, Imperial_Incremental[#Headers], 0)), 0))</f>
        <v/>
      </c>
      <c r="D581" s="30" t="str">
        <f>IF(B581=0,"",IF('Imperial Data'!AG570&gt;=1, INDEX(Imperial_Incremental[], MATCH('Imperial Data'!AG570, Imperial_Incremental[Height], 1), MATCH('Cumulative Volumes Imperial'!$F$4 &amp; "EC", Imperial_Incremental[#Headers], 0)), 0))</f>
        <v/>
      </c>
      <c r="E581" s="30"/>
      <c r="F581" s="30"/>
      <c r="G581" s="30"/>
      <c r="H581" s="30"/>
      <c r="I581" s="30"/>
      <c r="J581" s="30" t="str">
        <f>IF(B581="","",IF('Cumulative Volumes Imperial'!$AQ$17=FALSE,L581,K581))</f>
        <v/>
      </c>
      <c r="K581" s="30"/>
      <c r="L581" s="30"/>
      <c r="M581" s="30"/>
      <c r="N581" s="30"/>
      <c r="O581" s="30"/>
      <c r="P581" s="30" t="str">
        <f>IF(B581=0,"",(((1/12)*'Imperial Data'!$AC$4*'Imperial Data'!$AC$5)-C581)*$H$6)</f>
        <v/>
      </c>
      <c r="Q581" s="30"/>
      <c r="R581" s="30" t="str">
        <f>IF(B581=0,"",(((1/12)*'Imperial Data'!$AC$5*'Imperial Data'!$AC$7)-D581)*$H$6)</f>
        <v/>
      </c>
      <c r="S581" s="30"/>
      <c r="T581" s="30"/>
      <c r="U581" s="30"/>
      <c r="V581" s="30"/>
      <c r="W581" s="30" t="str">
        <f t="shared" si="72"/>
        <v/>
      </c>
      <c r="X581" s="31"/>
      <c r="Y581" s="30" t="str">
        <f t="shared" si="73"/>
        <v/>
      </c>
    </row>
    <row r="582" spans="2:25" x14ac:dyDescent="0.2">
      <c r="B582" s="34"/>
      <c r="C582" s="30" t="str">
        <f>IF(B582=0,"",IF('Imperial Data'!AG571&gt;=1, INDEX(Imperial_Incremental[], MATCH('Imperial Data'!AG571, Imperial_Incremental[Height], 1), MATCH('Cumulative Volumes Imperial'!$F$4, Imperial_Incremental[#Headers], 0)), 0))</f>
        <v/>
      </c>
      <c r="D582" s="30" t="str">
        <f>IF(B582=0,"",IF('Imperial Data'!AG571&gt;=1, INDEX(Imperial_Incremental[], MATCH('Imperial Data'!AG571, Imperial_Incremental[Height], 1), MATCH('Cumulative Volumes Imperial'!$F$4 &amp; "EC", Imperial_Incremental[#Headers], 0)), 0))</f>
        <v/>
      </c>
      <c r="E582" s="30"/>
      <c r="F582" s="30"/>
      <c r="G582" s="30"/>
      <c r="H582" s="30"/>
      <c r="I582" s="30"/>
      <c r="J582" s="30" t="str">
        <f>IF(B582="","",IF('Cumulative Volumes Imperial'!$AQ$17=FALSE,L582,K582))</f>
        <v/>
      </c>
      <c r="K582" s="30"/>
      <c r="L582" s="30"/>
      <c r="M582" s="30"/>
      <c r="N582" s="30"/>
      <c r="O582" s="30"/>
      <c r="P582" s="30" t="str">
        <f>IF(B582=0,"",(((1/12)*'Imperial Data'!$AC$4*'Imperial Data'!$AC$5)-C582)*$H$6)</f>
        <v/>
      </c>
      <c r="Q582" s="30"/>
      <c r="R582" s="30" t="str">
        <f>IF(B582=0,"",(((1/12)*'Imperial Data'!$AC$5*'Imperial Data'!$AC$7)-D582)*$H$6)</f>
        <v/>
      </c>
      <c r="S582" s="30"/>
      <c r="T582" s="30"/>
      <c r="U582" s="30"/>
      <c r="V582" s="30"/>
      <c r="W582" s="30" t="str">
        <f t="shared" si="72"/>
        <v/>
      </c>
      <c r="X582" s="31"/>
      <c r="Y582" s="30" t="str">
        <f t="shared" si="73"/>
        <v/>
      </c>
    </row>
    <row r="583" spans="2:25" x14ac:dyDescent="0.2">
      <c r="B583" s="34"/>
      <c r="C583" s="30" t="str">
        <f>IF(B583=0,"",IF('Imperial Data'!AG572&gt;=1, INDEX(Imperial_Incremental[], MATCH('Imperial Data'!AG572, Imperial_Incremental[Height], 1), MATCH('Cumulative Volumes Imperial'!$F$4, Imperial_Incremental[#Headers], 0)), 0))</f>
        <v/>
      </c>
      <c r="D583" s="30" t="str">
        <f>IF(B583=0,"",IF('Imperial Data'!AG572&gt;=1, INDEX(Imperial_Incremental[], MATCH('Imperial Data'!AG572, Imperial_Incremental[Height], 1), MATCH('Cumulative Volumes Imperial'!$F$4 &amp; "EC", Imperial_Incremental[#Headers], 0)), 0))</f>
        <v/>
      </c>
      <c r="E583" s="30"/>
      <c r="F583" s="30"/>
      <c r="G583" s="30"/>
      <c r="H583" s="30"/>
      <c r="I583" s="30"/>
      <c r="J583" s="30" t="str">
        <f>IF(B583="","",IF('Cumulative Volumes Imperial'!$AQ$17=FALSE,L583,K583))</f>
        <v/>
      </c>
      <c r="K583" s="30"/>
      <c r="L583" s="30"/>
      <c r="M583" s="30"/>
      <c r="N583" s="30"/>
      <c r="O583" s="30"/>
      <c r="P583" s="30" t="str">
        <f>IF(B583=0,"",(((1/12)*'Imperial Data'!$AC$4*'Imperial Data'!$AC$5)-C583)*$H$6)</f>
        <v/>
      </c>
      <c r="Q583" s="30"/>
      <c r="R583" s="30" t="str">
        <f>IF(B583=0,"",(((1/12)*'Imperial Data'!$AC$5*'Imperial Data'!$AC$7)-D583)*$H$6)</f>
        <v/>
      </c>
      <c r="S583" s="30"/>
      <c r="T583" s="30"/>
      <c r="U583" s="30"/>
      <c r="V583" s="30"/>
      <c r="W583" s="30" t="str">
        <f t="shared" si="72"/>
        <v/>
      </c>
      <c r="X583" s="31"/>
      <c r="Y583" s="30" t="str">
        <f t="shared" si="73"/>
        <v/>
      </c>
    </row>
    <row r="584" spans="2:25" x14ac:dyDescent="0.2">
      <c r="B584" s="34"/>
      <c r="C584" s="30" t="str">
        <f>IF(B584=0,"",IF('Imperial Data'!AG573&gt;=1, INDEX(Imperial_Incremental[], MATCH('Imperial Data'!AG573, Imperial_Incremental[Height], 1), MATCH('Cumulative Volumes Imperial'!$F$4, Imperial_Incremental[#Headers], 0)), 0))</f>
        <v/>
      </c>
      <c r="D584" s="30" t="str">
        <f>IF(B584=0,"",IF('Imperial Data'!AG573&gt;=1, INDEX(Imperial_Incremental[], MATCH('Imperial Data'!AG573, Imperial_Incremental[Height], 1), MATCH('Cumulative Volumes Imperial'!$F$4 &amp; "EC", Imperial_Incremental[#Headers], 0)), 0))</f>
        <v/>
      </c>
      <c r="E584" s="30"/>
      <c r="F584" s="30"/>
      <c r="G584" s="30"/>
      <c r="H584" s="30"/>
      <c r="I584" s="30"/>
      <c r="J584" s="30" t="str">
        <f>IF(B584="","",IF('Cumulative Volumes Imperial'!$AQ$17=FALSE,L584,K584))</f>
        <v/>
      </c>
      <c r="K584" s="30"/>
      <c r="L584" s="30"/>
      <c r="M584" s="30"/>
      <c r="N584" s="30"/>
      <c r="O584" s="30"/>
      <c r="P584" s="30" t="str">
        <f>IF(B584=0,"",(((1/12)*'Imperial Data'!$AC$4*'Imperial Data'!$AC$5)-C584)*$H$6)</f>
        <v/>
      </c>
      <c r="Q584" s="30"/>
      <c r="R584" s="30" t="str">
        <f>IF(B584=0,"",(((1/12)*'Imperial Data'!$AC$5*'Imperial Data'!$AC$7)-D584)*$H$6)</f>
        <v/>
      </c>
      <c r="S584" s="30"/>
      <c r="T584" s="30"/>
      <c r="U584" s="30"/>
      <c r="V584" s="30"/>
      <c r="W584" s="30" t="str">
        <f t="shared" si="72"/>
        <v/>
      </c>
      <c r="X584" s="31"/>
      <c r="Y584" s="30" t="str">
        <f t="shared" si="73"/>
        <v/>
      </c>
    </row>
    <row r="585" spans="2:25" x14ac:dyDescent="0.2">
      <c r="B585" s="34"/>
      <c r="C585" s="30" t="str">
        <f>IF(B585=0,"",IF('Imperial Data'!AG574&gt;=1, INDEX(Imperial_Incremental[], MATCH('Imperial Data'!AG574, Imperial_Incremental[Height], 1), MATCH('Cumulative Volumes Imperial'!$F$4, Imperial_Incremental[#Headers], 0)), 0))</f>
        <v/>
      </c>
      <c r="D585" s="30" t="str">
        <f>IF(B585=0,"",IF('Imperial Data'!AG574&gt;=1, INDEX(Imperial_Incremental[], MATCH('Imperial Data'!AG574, Imperial_Incremental[Height], 1), MATCH('Cumulative Volumes Imperial'!$F$4 &amp; "EC", Imperial_Incremental[#Headers], 0)), 0))</f>
        <v/>
      </c>
      <c r="E585" s="30"/>
      <c r="F585" s="30"/>
      <c r="G585" s="30"/>
      <c r="H585" s="30"/>
      <c r="I585" s="30"/>
      <c r="J585" s="30" t="str">
        <f>IF(B585="","",IF('Cumulative Volumes Imperial'!$AQ$17=FALSE,L585,K585))</f>
        <v/>
      </c>
      <c r="K585" s="30"/>
      <c r="L585" s="30"/>
      <c r="M585" s="30"/>
      <c r="N585" s="30"/>
      <c r="O585" s="30"/>
      <c r="P585" s="30" t="str">
        <f>IF(B585=0,"",(((1/12)*'Imperial Data'!$AC$4*'Imperial Data'!$AC$5)-C585)*$H$6)</f>
        <v/>
      </c>
      <c r="Q585" s="30"/>
      <c r="R585" s="30" t="str">
        <f>IF(B585=0,"",(((1/12)*'Imperial Data'!$AC$5*'Imperial Data'!$AC$7)-D585)*$H$6)</f>
        <v/>
      </c>
      <c r="S585" s="30"/>
      <c r="T585" s="30"/>
      <c r="U585" s="30"/>
      <c r="V585" s="30"/>
      <c r="W585" s="30" t="str">
        <f t="shared" si="72"/>
        <v/>
      </c>
      <c r="X585" s="31"/>
      <c r="Y585" s="30" t="str">
        <f t="shared" si="73"/>
        <v/>
      </c>
    </row>
    <row r="586" spans="2:25" x14ac:dyDescent="0.2">
      <c r="B586" s="34"/>
      <c r="C586" s="30" t="str">
        <f>IF(B586=0,"",IF('Imperial Data'!AG575&gt;=1, INDEX(Imperial_Incremental[], MATCH('Imperial Data'!AG575, Imperial_Incremental[Height], 1), MATCH('Cumulative Volumes Imperial'!$F$4, Imperial_Incremental[#Headers], 0)), 0))</f>
        <v/>
      </c>
      <c r="D586" s="30" t="str">
        <f>IF(B586=0,"",IF('Imperial Data'!AG575&gt;=1, INDEX(Imperial_Incremental[], MATCH('Imperial Data'!AG575, Imperial_Incremental[Height], 1), MATCH('Cumulative Volumes Imperial'!$F$4 &amp; "EC", Imperial_Incremental[#Headers], 0)), 0))</f>
        <v/>
      </c>
      <c r="E586" s="30"/>
      <c r="F586" s="30"/>
      <c r="G586" s="30"/>
      <c r="H586" s="30"/>
      <c r="I586" s="30"/>
      <c r="J586" s="30" t="str">
        <f>IF(B586="","",IF('Cumulative Volumes Imperial'!$AQ$17=FALSE,L586,K586))</f>
        <v/>
      </c>
      <c r="K586" s="30"/>
      <c r="L586" s="30"/>
      <c r="M586" s="30"/>
      <c r="N586" s="30"/>
      <c r="O586" s="30"/>
      <c r="P586" s="30" t="str">
        <f>IF(B586=0,"",(((1/12)*'Imperial Data'!$AC$4*'Imperial Data'!$AC$5)-C586)*$H$6)</f>
        <v/>
      </c>
      <c r="Q586" s="30"/>
      <c r="R586" s="30" t="str">
        <f>IF(B586=0,"",(((1/12)*'Imperial Data'!$AC$5*'Imperial Data'!$AC$7)-D586)*$H$6)</f>
        <v/>
      </c>
      <c r="S586" s="30"/>
      <c r="T586" s="30"/>
      <c r="U586" s="30"/>
      <c r="V586" s="30"/>
      <c r="W586" s="30" t="str">
        <f t="shared" si="72"/>
        <v/>
      </c>
      <c r="X586" s="31"/>
      <c r="Y586" s="30" t="str">
        <f t="shared" si="73"/>
        <v/>
      </c>
    </row>
    <row r="587" spans="2:25" x14ac:dyDescent="0.2">
      <c r="B587" s="34"/>
      <c r="C587" s="30" t="str">
        <f>IF(B587=0,"",IF('Imperial Data'!AG576&gt;=1, INDEX(Imperial_Incremental[], MATCH('Imperial Data'!AG576, Imperial_Incremental[Height], 1), MATCH('Cumulative Volumes Imperial'!$F$4, Imperial_Incremental[#Headers], 0)), 0))</f>
        <v/>
      </c>
      <c r="D587" s="30" t="str">
        <f>IF(B587=0,"",IF('Imperial Data'!AG576&gt;=1, INDEX(Imperial_Incremental[], MATCH('Imperial Data'!AG576, Imperial_Incremental[Height], 1), MATCH('Cumulative Volumes Imperial'!$F$4 &amp; "EC", Imperial_Incremental[#Headers], 0)), 0))</f>
        <v/>
      </c>
      <c r="E587" s="30"/>
      <c r="F587" s="30"/>
      <c r="G587" s="30"/>
      <c r="H587" s="30"/>
      <c r="I587" s="30"/>
      <c r="J587" s="30" t="str">
        <f>IF(B587="","",IF('Cumulative Volumes Imperial'!$AQ$17=FALSE,L587,K587))</f>
        <v/>
      </c>
      <c r="K587" s="30"/>
      <c r="L587" s="30"/>
      <c r="M587" s="30"/>
      <c r="N587" s="30"/>
      <c r="O587" s="30"/>
      <c r="P587" s="30" t="str">
        <f>IF(B587=0,"",(((1/12)*'Imperial Data'!$AC$4*'Imperial Data'!$AC$5)-C587)*$H$6)</f>
        <v/>
      </c>
      <c r="Q587" s="30"/>
      <c r="R587" s="30" t="str">
        <f>IF(B587=0,"",(((1/12)*'Imperial Data'!$AC$5*'Imperial Data'!$AC$7)-D587)*$H$6)</f>
        <v/>
      </c>
      <c r="S587" s="30"/>
      <c r="T587" s="30"/>
      <c r="U587" s="30"/>
      <c r="V587" s="30"/>
      <c r="W587" s="30" t="str">
        <f t="shared" si="72"/>
        <v/>
      </c>
      <c r="X587" s="31"/>
      <c r="Y587" s="30" t="str">
        <f t="shared" si="73"/>
        <v/>
      </c>
    </row>
    <row r="588" spans="2:25" x14ac:dyDescent="0.2">
      <c r="B588" s="34"/>
      <c r="C588" s="30" t="str">
        <f>IF(B588=0,"",IF('Imperial Data'!AG577&gt;=1, INDEX(Imperial_Incremental[], MATCH('Imperial Data'!AG577, Imperial_Incremental[Height], 1), MATCH('Cumulative Volumes Imperial'!$F$4, Imperial_Incremental[#Headers], 0)), 0))</f>
        <v/>
      </c>
      <c r="D588" s="30" t="str">
        <f>IF(B588=0,"",IF('Imperial Data'!AG577&gt;=1, INDEX(Imperial_Incremental[], MATCH('Imperial Data'!AG577, Imperial_Incremental[Height], 1), MATCH('Cumulative Volumes Imperial'!$F$4 &amp; "EC", Imperial_Incremental[#Headers], 0)), 0))</f>
        <v/>
      </c>
      <c r="E588" s="30"/>
      <c r="F588" s="30"/>
      <c r="G588" s="30"/>
      <c r="H588" s="30"/>
      <c r="I588" s="30"/>
      <c r="J588" s="30" t="str">
        <f>IF(B588="","",IF('Cumulative Volumes Imperial'!$AQ$17=FALSE,L588,K588))</f>
        <v/>
      </c>
      <c r="K588" s="30"/>
      <c r="L588" s="30"/>
      <c r="M588" s="30"/>
      <c r="N588" s="30"/>
      <c r="O588" s="30"/>
      <c r="P588" s="30" t="str">
        <f>IF(B588=0,"",(((1/12)*'Imperial Data'!$AC$4*'Imperial Data'!$AC$5)-C588)*$H$6)</f>
        <v/>
      </c>
      <c r="Q588" s="30"/>
      <c r="R588" s="30" t="str">
        <f>IF(B588=0,"",(((1/12)*'Imperial Data'!$AC$5*'Imperial Data'!$AC$7)-D588)*$H$6)</f>
        <v/>
      </c>
      <c r="S588" s="30"/>
      <c r="T588" s="30"/>
      <c r="U588" s="30"/>
      <c r="V588" s="30"/>
      <c r="W588" s="30" t="str">
        <f t="shared" si="72"/>
        <v/>
      </c>
      <c r="X588" s="31"/>
      <c r="Y588" s="30" t="str">
        <f t="shared" si="73"/>
        <v/>
      </c>
    </row>
    <row r="589" spans="2:25" x14ac:dyDescent="0.2">
      <c r="B589" s="34"/>
      <c r="C589" s="30" t="str">
        <f>IF(B589=0,"",IF('Imperial Data'!AG578&gt;=1, INDEX(Imperial_Incremental[], MATCH('Imperial Data'!AG578, Imperial_Incremental[Height], 1), MATCH('Cumulative Volumes Imperial'!$F$4, Imperial_Incremental[#Headers], 0)), 0))</f>
        <v/>
      </c>
      <c r="D589" s="30" t="str">
        <f>IF(B589=0,"",IF('Imperial Data'!AG578&gt;=1, INDEX(Imperial_Incremental[], MATCH('Imperial Data'!AG578, Imperial_Incremental[Height], 1), MATCH('Cumulative Volumes Imperial'!$F$4 &amp; "EC", Imperial_Incremental[#Headers], 0)), 0))</f>
        <v/>
      </c>
      <c r="E589" s="30"/>
      <c r="F589" s="30"/>
      <c r="G589" s="30"/>
      <c r="H589" s="30"/>
      <c r="I589" s="30"/>
      <c r="J589" s="30" t="str">
        <f>IF(B589="","",IF('Cumulative Volumes Imperial'!$AQ$17=FALSE,L589,K589))</f>
        <v/>
      </c>
      <c r="K589" s="30"/>
      <c r="L589" s="30"/>
      <c r="M589" s="30"/>
      <c r="N589" s="30"/>
      <c r="O589" s="30"/>
      <c r="P589" s="30" t="str">
        <f>IF(B589=0,"",(((1/12)*'Imperial Data'!$AC$4*'Imperial Data'!$AC$5)-C589)*$H$6)</f>
        <v/>
      </c>
      <c r="Q589" s="30"/>
      <c r="R589" s="30" t="str">
        <f>IF(B589=0,"",(((1/12)*'Imperial Data'!$AC$5*'Imperial Data'!$AC$7)-D589)*$H$6)</f>
        <v/>
      </c>
      <c r="S589" s="30"/>
      <c r="T589" s="30"/>
      <c r="U589" s="30"/>
      <c r="V589" s="30"/>
      <c r="W589" s="30" t="str">
        <f t="shared" si="72"/>
        <v/>
      </c>
      <c r="X589" s="31"/>
      <c r="Y589" s="30" t="str">
        <f t="shared" si="73"/>
        <v/>
      </c>
    </row>
    <row r="590" spans="2:25" x14ac:dyDescent="0.2">
      <c r="B590" s="34"/>
      <c r="C590" s="30" t="str">
        <f>IF(B590=0,"",IF('Imperial Data'!AG579&gt;=1, INDEX(Imperial_Incremental[], MATCH('Imperial Data'!AG579, Imperial_Incremental[Height], 1), MATCH('Cumulative Volumes Imperial'!$F$4, Imperial_Incremental[#Headers], 0)), 0))</f>
        <v/>
      </c>
      <c r="D590" s="30" t="str">
        <f>IF(B590=0,"",IF('Imperial Data'!AG579&gt;=1, INDEX(Imperial_Incremental[], MATCH('Imperial Data'!AG579, Imperial_Incremental[Height], 1), MATCH('Cumulative Volumes Imperial'!$F$4 &amp; "EC", Imperial_Incremental[#Headers], 0)), 0))</f>
        <v/>
      </c>
      <c r="E590" s="30"/>
      <c r="F590" s="30"/>
      <c r="G590" s="30"/>
      <c r="H590" s="30"/>
      <c r="I590" s="30"/>
      <c r="J590" s="30" t="str">
        <f>IF(B590="","",IF('Cumulative Volumes Imperial'!$AQ$17=FALSE,L590,K590))</f>
        <v/>
      </c>
      <c r="K590" s="30"/>
      <c r="L590" s="30"/>
      <c r="M590" s="30"/>
      <c r="N590" s="30"/>
      <c r="O590" s="30"/>
      <c r="P590" s="30" t="str">
        <f>IF(B590=0,"",(((1/12)*'Imperial Data'!$AC$4*'Imperial Data'!$AC$5)-C590)*$H$6)</f>
        <v/>
      </c>
      <c r="Q590" s="30"/>
      <c r="R590" s="30" t="str">
        <f>IF(B590=0,"",(((1/12)*'Imperial Data'!$AC$5*'Imperial Data'!$AC$7)-D590)*$H$6)</f>
        <v/>
      </c>
      <c r="S590" s="30"/>
      <c r="T590" s="30"/>
      <c r="U590" s="30"/>
      <c r="V590" s="30"/>
      <c r="W590" s="30" t="str">
        <f t="shared" si="72"/>
        <v/>
      </c>
      <c r="X590" s="31"/>
      <c r="Y590" s="30" t="str">
        <f t="shared" si="73"/>
        <v/>
      </c>
    </row>
    <row r="591" spans="2:25" x14ac:dyDescent="0.2">
      <c r="B591" s="34"/>
      <c r="C591" s="30" t="str">
        <f>IF(B591=0,"",IF('Imperial Data'!AG580&gt;=1, INDEX(Imperial_Incremental[], MATCH('Imperial Data'!AG580, Imperial_Incremental[Height], 1), MATCH('Cumulative Volumes Imperial'!$F$4, Imperial_Incremental[#Headers], 0)), 0))</f>
        <v/>
      </c>
      <c r="D591" s="30" t="str">
        <f>IF(B591=0,"",IF('Imperial Data'!AG580&gt;=1, INDEX(Imperial_Incremental[], MATCH('Imperial Data'!AG580, Imperial_Incremental[Height], 1), MATCH('Cumulative Volumes Imperial'!$F$4 &amp; "EC", Imperial_Incremental[#Headers], 0)), 0))</f>
        <v/>
      </c>
      <c r="E591" s="30"/>
      <c r="F591" s="30"/>
      <c r="G591" s="30"/>
      <c r="H591" s="30"/>
      <c r="I591" s="30"/>
      <c r="J591" s="30" t="str">
        <f>IF(B591="","",IF('Cumulative Volumes Imperial'!$AQ$17=FALSE,L591,K591))</f>
        <v/>
      </c>
      <c r="K591" s="30"/>
      <c r="L591" s="30"/>
      <c r="M591" s="30"/>
      <c r="N591" s="30"/>
      <c r="O591" s="30"/>
      <c r="P591" s="30" t="str">
        <f>IF(B591=0,"",(((1/12)*'Imperial Data'!$AC$4*'Imperial Data'!$AC$5)-C591)*$H$6)</f>
        <v/>
      </c>
      <c r="Q591" s="30"/>
      <c r="R591" s="30" t="str">
        <f>IF(B591=0,"",(((1/12)*'Imperial Data'!$AC$5*'Imperial Data'!$AC$7)-D591)*$H$6)</f>
        <v/>
      </c>
      <c r="S591" s="30"/>
      <c r="T591" s="30"/>
      <c r="U591" s="30"/>
      <c r="V591" s="30"/>
      <c r="W591" s="30" t="str">
        <f t="shared" ref="W591:W654" si="74">IF(B591=0,"",IF(B591=1,D591+R591,W592+D591+R591))</f>
        <v/>
      </c>
      <c r="X591" s="31"/>
      <c r="Y591" s="30" t="str">
        <f t="shared" ref="Y591:Y654" si="75">IF(B591=0,"",$E$7+B591/12)</f>
        <v/>
      </c>
    </row>
    <row r="592" spans="2:25" x14ac:dyDescent="0.2">
      <c r="B592" s="34"/>
      <c r="C592" s="30" t="str">
        <f>IF(B592=0,"",IF('Imperial Data'!AG581&gt;=1, INDEX(Imperial_Incremental[], MATCH('Imperial Data'!AG581, Imperial_Incremental[Height], 1), MATCH('Cumulative Volumes Imperial'!$F$4, Imperial_Incremental[#Headers], 0)), 0))</f>
        <v/>
      </c>
      <c r="D592" s="30" t="str">
        <f>IF(B592=0,"",IF('Imperial Data'!AG581&gt;=1, INDEX(Imperial_Incremental[], MATCH('Imperial Data'!AG581, Imperial_Incremental[Height], 1), MATCH('Cumulative Volumes Imperial'!$F$4 &amp; "EC", Imperial_Incremental[#Headers], 0)), 0))</f>
        <v/>
      </c>
      <c r="E592" s="30"/>
      <c r="F592" s="30"/>
      <c r="G592" s="30"/>
      <c r="H592" s="30"/>
      <c r="I592" s="30"/>
      <c r="J592" s="30" t="str">
        <f>IF(B592="","",IF('Cumulative Volumes Imperial'!$AQ$17=FALSE,L592,K592))</f>
        <v/>
      </c>
      <c r="K592" s="30"/>
      <c r="L592" s="30"/>
      <c r="M592" s="30"/>
      <c r="N592" s="30"/>
      <c r="O592" s="30"/>
      <c r="P592" s="30" t="str">
        <f>IF(B592=0,"",(((1/12)*'Imperial Data'!$AC$4*'Imperial Data'!$AC$5)-C592)*$H$6)</f>
        <v/>
      </c>
      <c r="Q592" s="30"/>
      <c r="R592" s="30"/>
      <c r="S592" s="30"/>
      <c r="T592" s="30"/>
      <c r="U592" s="30"/>
      <c r="V592" s="30"/>
      <c r="W592" s="30" t="str">
        <f t="shared" si="74"/>
        <v/>
      </c>
      <c r="X592" s="31"/>
      <c r="Y592" s="30" t="str">
        <f t="shared" si="75"/>
        <v/>
      </c>
    </row>
    <row r="593" spans="2:25" x14ac:dyDescent="0.2">
      <c r="B593" s="34"/>
      <c r="C593" s="30" t="str">
        <f>IF(B593=0,"",IF('Imperial Data'!AG582&gt;=1, INDEX(Imperial_Incremental[], MATCH('Imperial Data'!AG582, Imperial_Incremental[Height], 1), MATCH('Cumulative Volumes Imperial'!$F$4, Imperial_Incremental[#Headers], 0)), 0))</f>
        <v/>
      </c>
      <c r="D593" s="30" t="str">
        <f>IF(B593=0,"",IF('Imperial Data'!AG582&gt;=1, INDEX(Imperial_Incremental[], MATCH('Imperial Data'!AG582, Imperial_Incremental[Height], 1), MATCH('Cumulative Volumes Imperial'!$F$4 &amp; "EC", Imperial_Incremental[#Headers], 0)), 0))</f>
        <v/>
      </c>
      <c r="E593" s="30"/>
      <c r="F593" s="30"/>
      <c r="G593" s="30"/>
      <c r="H593" s="30"/>
      <c r="I593" s="30"/>
      <c r="J593" s="30" t="str">
        <f>IF(B593="","",IF('Cumulative Volumes Imperial'!$AQ$17=FALSE,L593,K593))</f>
        <v/>
      </c>
      <c r="K593" s="30"/>
      <c r="L593" s="30"/>
      <c r="M593" s="30"/>
      <c r="N593" s="30"/>
      <c r="O593" s="30"/>
      <c r="P593" s="30" t="str">
        <f>IF(B593=0,"",(((1/12)*'Imperial Data'!$AC$4*'Imperial Data'!$AC$5)-C593)*$H$6)</f>
        <v/>
      </c>
      <c r="Q593" s="30"/>
      <c r="R593" s="30"/>
      <c r="S593" s="30"/>
      <c r="T593" s="30"/>
      <c r="U593" s="30"/>
      <c r="V593" s="30"/>
      <c r="W593" s="30" t="str">
        <f t="shared" si="74"/>
        <v/>
      </c>
      <c r="X593" s="31"/>
      <c r="Y593" s="30" t="str">
        <f t="shared" si="75"/>
        <v/>
      </c>
    </row>
    <row r="594" spans="2:25" x14ac:dyDescent="0.2">
      <c r="B594" s="34"/>
      <c r="C594" s="30" t="str">
        <f>IF(B594=0,"",IF('Imperial Data'!AG583&gt;=1, INDEX(Imperial_Incremental[], MATCH('Imperial Data'!AG583, Imperial_Incremental[Height], 1), MATCH('Cumulative Volumes Imperial'!$F$4, Imperial_Incremental[#Headers], 0)), 0))</f>
        <v/>
      </c>
      <c r="D594" s="30" t="str">
        <f>IF(B594=0,"",IF('Imperial Data'!AG583&gt;=1, INDEX(Imperial_Incremental[], MATCH('Imperial Data'!AG583, Imperial_Incremental[Height], 1), MATCH('Cumulative Volumes Imperial'!$F$4 &amp; "EC", Imperial_Incremental[#Headers], 0)), 0))</f>
        <v/>
      </c>
      <c r="E594" s="30"/>
      <c r="F594" s="30"/>
      <c r="G594" s="30"/>
      <c r="H594" s="30"/>
      <c r="I594" s="30"/>
      <c r="J594" s="30" t="str">
        <f>IF(B594="","",IF('Cumulative Volumes Imperial'!$AQ$17=FALSE,L594,K594))</f>
        <v/>
      </c>
      <c r="K594" s="30"/>
      <c r="L594" s="30"/>
      <c r="M594" s="30"/>
      <c r="N594" s="30"/>
      <c r="O594" s="30"/>
      <c r="P594" s="30" t="str">
        <f>IF(B594=0,"",(((1/12)*'Imperial Data'!$AC$4*'Imperial Data'!$AC$5)-C594)*$H$6)</f>
        <v/>
      </c>
      <c r="Q594" s="30"/>
      <c r="R594" s="30"/>
      <c r="S594" s="30"/>
      <c r="T594" s="30"/>
      <c r="U594" s="30"/>
      <c r="V594" s="30"/>
      <c r="W594" s="30" t="str">
        <f t="shared" si="74"/>
        <v/>
      </c>
      <c r="X594" s="31"/>
      <c r="Y594" s="30" t="str">
        <f t="shared" si="75"/>
        <v/>
      </c>
    </row>
    <row r="595" spans="2:25" x14ac:dyDescent="0.2">
      <c r="B595" s="34"/>
      <c r="C595" s="30" t="str">
        <f>IF(B595=0,"",IF('Imperial Data'!AG584&gt;=1, INDEX(Imperial_Incremental[], MATCH('Imperial Data'!AG584, Imperial_Incremental[Height], 1), MATCH('Cumulative Volumes Imperial'!$F$4, Imperial_Incremental[#Headers], 0)), 0))</f>
        <v/>
      </c>
      <c r="D595" s="30" t="str">
        <f>IF(B595=0,"",IF('Imperial Data'!AG584&gt;=1, INDEX(Imperial_Incremental[], MATCH('Imperial Data'!AG584, Imperial_Incremental[Height], 1), MATCH('Cumulative Volumes Imperial'!$F$4 &amp; "EC", Imperial_Incremental[#Headers], 0)), 0))</f>
        <v/>
      </c>
      <c r="E595" s="30"/>
      <c r="F595" s="30"/>
      <c r="G595" s="30"/>
      <c r="H595" s="30"/>
      <c r="I595" s="30"/>
      <c r="J595" s="30" t="str">
        <f>IF(B595="","",IF('Cumulative Volumes Imperial'!$AQ$17=FALSE,L595,K595))</f>
        <v/>
      </c>
      <c r="K595" s="30"/>
      <c r="L595" s="30"/>
      <c r="M595" s="30"/>
      <c r="N595" s="30"/>
      <c r="O595" s="30"/>
      <c r="P595" s="30" t="str">
        <f>IF(B595=0,"",(((1/12)*'Imperial Data'!$AC$4*'Imperial Data'!$AC$5)-C595)*$H$6)</f>
        <v/>
      </c>
      <c r="Q595" s="30"/>
      <c r="R595" s="30"/>
      <c r="S595" s="30"/>
      <c r="T595" s="30"/>
      <c r="U595" s="30"/>
      <c r="V595" s="30"/>
      <c r="W595" s="30" t="str">
        <f t="shared" si="74"/>
        <v/>
      </c>
      <c r="X595" s="31"/>
      <c r="Y595" s="30" t="str">
        <f t="shared" si="75"/>
        <v/>
      </c>
    </row>
    <row r="596" spans="2:25" x14ac:dyDescent="0.2">
      <c r="B596" s="34"/>
      <c r="C596" s="30" t="str">
        <f>IF(B596=0,"",IF('Imperial Data'!AG585&gt;=1, INDEX(Imperial_Incremental[], MATCH('Imperial Data'!AG585, Imperial_Incremental[Height], 1), MATCH('Cumulative Volumes Imperial'!$F$4, Imperial_Incremental[#Headers], 0)), 0))</f>
        <v/>
      </c>
      <c r="D596" s="30" t="str">
        <f>IF(B596=0,"",IF('Imperial Data'!AG585&gt;=1, INDEX(Imperial_Incremental[], MATCH('Imperial Data'!AG585, Imperial_Incremental[Height], 1), MATCH('Cumulative Volumes Imperial'!$F$4 &amp; "EC", Imperial_Incremental[#Headers], 0)), 0))</f>
        <v/>
      </c>
      <c r="E596" s="30"/>
      <c r="F596" s="30"/>
      <c r="G596" s="30"/>
      <c r="H596" s="30"/>
      <c r="I596" s="30"/>
      <c r="J596" s="30" t="str">
        <f>IF(B596="","",IF('Cumulative Volumes Imperial'!$AQ$17=FALSE,L596,K596))</f>
        <v/>
      </c>
      <c r="K596" s="30"/>
      <c r="L596" s="30"/>
      <c r="M596" s="30"/>
      <c r="N596" s="30"/>
      <c r="O596" s="30"/>
      <c r="P596" s="30" t="str">
        <f>IF(B596=0,"",(((1/12)*'Imperial Data'!$AC$4*'Imperial Data'!$AC$5)-C596)*$H$6)</f>
        <v/>
      </c>
      <c r="Q596" s="30"/>
      <c r="R596" s="30"/>
      <c r="S596" s="30"/>
      <c r="T596" s="30"/>
      <c r="U596" s="30"/>
      <c r="V596" s="30"/>
      <c r="W596" s="30" t="str">
        <f t="shared" si="74"/>
        <v/>
      </c>
      <c r="X596" s="31"/>
      <c r="Y596" s="30" t="str">
        <f t="shared" si="75"/>
        <v/>
      </c>
    </row>
    <row r="597" spans="2:25" x14ac:dyDescent="0.2">
      <c r="B597" s="34"/>
      <c r="C597" s="30" t="str">
        <f>IF(B597=0,"",IF('Imperial Data'!AG586&gt;=1, INDEX(Imperial_Incremental[], MATCH('Imperial Data'!AG586, Imperial_Incremental[Height], 1), MATCH('Cumulative Volumes Imperial'!$F$4, Imperial_Incremental[#Headers], 0)), 0))</f>
        <v/>
      </c>
      <c r="D597" s="30" t="str">
        <f>IF(B597=0,"",IF('Imperial Data'!AG586&gt;=1, INDEX(Imperial_Incremental[], MATCH('Imperial Data'!AG586, Imperial_Incremental[Height], 1), MATCH('Cumulative Volumes Imperial'!$F$4 &amp; "EC", Imperial_Incremental[#Headers], 0)), 0))</f>
        <v/>
      </c>
      <c r="E597" s="30"/>
      <c r="F597" s="30"/>
      <c r="G597" s="30"/>
      <c r="H597" s="30"/>
      <c r="I597" s="30"/>
      <c r="J597" s="30" t="str">
        <f>IF(B597="","",IF('Cumulative Volumes Imperial'!$AQ$17=FALSE,L597,K597))</f>
        <v/>
      </c>
      <c r="K597" s="30"/>
      <c r="L597" s="30"/>
      <c r="M597" s="30"/>
      <c r="N597" s="30"/>
      <c r="O597" s="30"/>
      <c r="P597" s="30" t="str">
        <f>IF(B597=0,"",(((1/12)*'Imperial Data'!$AC$4*'Imperial Data'!$AC$5)-C597)*$H$6)</f>
        <v/>
      </c>
      <c r="Q597" s="30"/>
      <c r="R597" s="30"/>
      <c r="S597" s="30"/>
      <c r="T597" s="30"/>
      <c r="U597" s="30"/>
      <c r="V597" s="30"/>
      <c r="W597" s="30" t="str">
        <f t="shared" si="74"/>
        <v/>
      </c>
      <c r="X597" s="31"/>
      <c r="Y597" s="30" t="str">
        <f t="shared" si="75"/>
        <v/>
      </c>
    </row>
    <row r="598" spans="2:25" x14ac:dyDescent="0.2">
      <c r="B598" s="34"/>
      <c r="C598" s="30" t="str">
        <f>IF(B598=0,"",IF('Imperial Data'!AG587&gt;=1, INDEX(Imperial_Incremental[], MATCH('Imperial Data'!AG587, Imperial_Incremental[Height], 1), MATCH('Cumulative Volumes Imperial'!$F$4, Imperial_Incremental[#Headers], 0)), 0))</f>
        <v/>
      </c>
      <c r="D598" s="30" t="str">
        <f>IF(B598=0,"",IF('Imperial Data'!AG587&gt;=1, INDEX(Imperial_Incremental[], MATCH('Imperial Data'!AG587, Imperial_Incremental[Height], 1), MATCH('Cumulative Volumes Imperial'!$F$4 &amp; "EC", Imperial_Incremental[#Headers], 0)), 0))</f>
        <v/>
      </c>
      <c r="E598" s="30"/>
      <c r="F598" s="30"/>
      <c r="G598" s="30"/>
      <c r="H598" s="30"/>
      <c r="I598" s="30"/>
      <c r="J598" s="30" t="str">
        <f>IF(B598="","",IF('Cumulative Volumes Imperial'!$AQ$17=FALSE,L598,K598))</f>
        <v/>
      </c>
      <c r="K598" s="30"/>
      <c r="L598" s="30"/>
      <c r="M598" s="30"/>
      <c r="N598" s="30"/>
      <c r="O598" s="30"/>
      <c r="P598" s="30" t="str">
        <f>IF(B598=0,"",(((1/12)*'Imperial Data'!$AC$4*'Imperial Data'!$AC$5)-C598)*$H$6)</f>
        <v/>
      </c>
      <c r="Q598" s="30"/>
      <c r="R598" s="30"/>
      <c r="S598" s="30"/>
      <c r="T598" s="30"/>
      <c r="U598" s="30"/>
      <c r="V598" s="30"/>
      <c r="W598" s="30" t="str">
        <f t="shared" si="74"/>
        <v/>
      </c>
      <c r="X598" s="31"/>
      <c r="Y598" s="30" t="str">
        <f t="shared" si="75"/>
        <v/>
      </c>
    </row>
    <row r="599" spans="2:25" x14ac:dyDescent="0.2">
      <c r="B599" s="34"/>
      <c r="C599" s="30" t="str">
        <f>IF(B599=0,"",IF('Imperial Data'!AG588&gt;=1, INDEX(Imperial_Incremental[], MATCH('Imperial Data'!AG588, Imperial_Incremental[Height], 1), MATCH('Cumulative Volumes Imperial'!$F$4, Imperial_Incremental[#Headers], 0)), 0))</f>
        <v/>
      </c>
      <c r="D599" s="30" t="str">
        <f>IF(B599=0,"",IF('Imperial Data'!AG588&gt;=1, INDEX(Imperial_Incremental[], MATCH('Imperial Data'!AG588, Imperial_Incremental[Height], 1), MATCH('Cumulative Volumes Imperial'!$F$4 &amp; "EC", Imperial_Incremental[#Headers], 0)), 0))</f>
        <v/>
      </c>
      <c r="E599" s="30"/>
      <c r="F599" s="30"/>
      <c r="G599" s="30"/>
      <c r="H599" s="30"/>
      <c r="I599" s="30"/>
      <c r="J599" s="30" t="str">
        <f>IF(B599="","",IF('Cumulative Volumes Imperial'!$AQ$17=FALSE,L599,K599))</f>
        <v/>
      </c>
      <c r="K599" s="30"/>
      <c r="L599" s="30"/>
      <c r="M599" s="30"/>
      <c r="N599" s="30"/>
      <c r="O599" s="30"/>
      <c r="P599" s="30" t="str">
        <f>IF(B599=0,"",(((1/12)*'Imperial Data'!$AC$4*'Imperial Data'!$AC$5)-C599)*$H$6)</f>
        <v/>
      </c>
      <c r="Q599" s="30"/>
      <c r="R599" s="30"/>
      <c r="S599" s="30"/>
      <c r="T599" s="30"/>
      <c r="U599" s="30"/>
      <c r="V599" s="30"/>
      <c r="W599" s="30" t="str">
        <f t="shared" si="74"/>
        <v/>
      </c>
      <c r="X599" s="31"/>
      <c r="Y599" s="30" t="str">
        <f t="shared" si="75"/>
        <v/>
      </c>
    </row>
    <row r="600" spans="2:25" x14ac:dyDescent="0.2">
      <c r="B600" s="34"/>
      <c r="C600" s="30" t="str">
        <f>IF(B600=0,"",IF('Imperial Data'!AG589&gt;=1, INDEX(Imperial_Incremental[], MATCH('Imperial Data'!AG589, Imperial_Incremental[Height], 1), MATCH('Cumulative Volumes Imperial'!$F$4, Imperial_Incremental[#Headers], 0)), 0))</f>
        <v/>
      </c>
      <c r="D600" s="30" t="str">
        <f>IF(B600=0,"",IF('Imperial Data'!AG589&gt;=1, INDEX(Imperial_Incremental[], MATCH('Imperial Data'!AG589, Imperial_Incremental[Height], 1), MATCH('Cumulative Volumes Imperial'!$F$4 &amp; "EC", Imperial_Incremental[#Headers], 0)), 0))</f>
        <v/>
      </c>
      <c r="E600" s="30"/>
      <c r="F600" s="30"/>
      <c r="G600" s="30"/>
      <c r="H600" s="30"/>
      <c r="I600" s="30"/>
      <c r="J600" s="30" t="str">
        <f>IF(B600="","",IF('Cumulative Volumes Imperial'!$AQ$17=FALSE,L600,K600))</f>
        <v/>
      </c>
      <c r="K600" s="30"/>
      <c r="L600" s="30"/>
      <c r="M600" s="30"/>
      <c r="N600" s="30"/>
      <c r="O600" s="30"/>
      <c r="P600" s="30" t="str">
        <f>IF(B600=0,"",(((1/12)*'Imperial Data'!$AC$4*'Imperial Data'!$AC$5)-C600)*$H$6)</f>
        <v/>
      </c>
      <c r="Q600" s="30"/>
      <c r="R600" s="30"/>
      <c r="S600" s="30"/>
      <c r="T600" s="30"/>
      <c r="U600" s="30"/>
      <c r="V600" s="30"/>
      <c r="W600" s="30" t="str">
        <f t="shared" si="74"/>
        <v/>
      </c>
      <c r="X600" s="31"/>
      <c r="Y600" s="30" t="str">
        <f t="shared" si="75"/>
        <v/>
      </c>
    </row>
    <row r="601" spans="2:25" x14ac:dyDescent="0.2">
      <c r="B601" s="34"/>
      <c r="C601" s="30" t="str">
        <f>IF(B601=0,"",IF('Imperial Data'!AG590&gt;=1, INDEX(Imperial_Incremental[], MATCH('Imperial Data'!AG590, Imperial_Incremental[Height], 1), MATCH('Cumulative Volumes Imperial'!$F$4, Imperial_Incremental[#Headers], 0)), 0))</f>
        <v/>
      </c>
      <c r="D601" s="30" t="str">
        <f>IF(B601=0,"",IF('Imperial Data'!AG590&gt;=1, INDEX(Imperial_Incremental[], MATCH('Imperial Data'!AG590, Imperial_Incremental[Height], 1), MATCH('Cumulative Volumes Imperial'!$F$4 &amp; "EC", Imperial_Incremental[#Headers], 0)), 0))</f>
        <v/>
      </c>
      <c r="E601" s="30"/>
      <c r="F601" s="30"/>
      <c r="G601" s="30"/>
      <c r="H601" s="30"/>
      <c r="I601" s="30"/>
      <c r="J601" s="30" t="str">
        <f>IF(B601="","",IF('Cumulative Volumes Imperial'!$AQ$17=FALSE,L601,K601))</f>
        <v/>
      </c>
      <c r="K601" s="30"/>
      <c r="L601" s="30"/>
      <c r="M601" s="30"/>
      <c r="N601" s="30"/>
      <c r="O601" s="30"/>
      <c r="P601" s="30" t="str">
        <f>IF(B601=0,"",(((1/12)*'Imperial Data'!$AC$4*'Imperial Data'!$AC$5)-C601)*$H$6)</f>
        <v/>
      </c>
      <c r="Q601" s="30"/>
      <c r="R601" s="30"/>
      <c r="S601" s="30"/>
      <c r="T601" s="30"/>
      <c r="U601" s="30"/>
      <c r="V601" s="30"/>
      <c r="W601" s="30" t="str">
        <f t="shared" si="74"/>
        <v/>
      </c>
      <c r="X601" s="31"/>
      <c r="Y601" s="30" t="str">
        <f t="shared" si="75"/>
        <v/>
      </c>
    </row>
    <row r="602" spans="2:25" x14ac:dyDescent="0.2">
      <c r="B602" s="34"/>
      <c r="C602" s="30" t="str">
        <f>IF(B602=0,"",IF('Imperial Data'!AG591&gt;=1, INDEX(Imperial_Incremental[], MATCH('Imperial Data'!AG591, Imperial_Incremental[Height], 1), MATCH('Cumulative Volumes Imperial'!$F$4, Imperial_Incremental[#Headers], 0)), 0))</f>
        <v/>
      </c>
      <c r="D602" s="30" t="str">
        <f>IF(B602=0,"",IF('Imperial Data'!AG591&gt;=1, INDEX(Imperial_Incremental[], MATCH('Imperial Data'!AG591, Imperial_Incremental[Height], 1), MATCH('Cumulative Volumes Imperial'!$F$4 &amp; "EC", Imperial_Incremental[#Headers], 0)), 0))</f>
        <v/>
      </c>
      <c r="E602" s="30"/>
      <c r="F602" s="30"/>
      <c r="G602" s="30"/>
      <c r="H602" s="30"/>
      <c r="I602" s="30"/>
      <c r="J602" s="30" t="str">
        <f>IF(B602="","",IF('Cumulative Volumes Imperial'!$AQ$17=FALSE,L602,K602))</f>
        <v/>
      </c>
      <c r="K602" s="30"/>
      <c r="L602" s="30"/>
      <c r="M602" s="30"/>
      <c r="N602" s="30"/>
      <c r="O602" s="30"/>
      <c r="P602" s="30" t="str">
        <f>IF(B602=0,"",(((1/12)*'Imperial Data'!$AC$4*'Imperial Data'!$AC$5)-C602)*$H$6)</f>
        <v/>
      </c>
      <c r="Q602" s="30"/>
      <c r="R602" s="30"/>
      <c r="S602" s="30"/>
      <c r="T602" s="30"/>
      <c r="U602" s="30"/>
      <c r="V602" s="30"/>
      <c r="W602" s="30" t="str">
        <f t="shared" si="74"/>
        <v/>
      </c>
      <c r="X602" s="31"/>
      <c r="Y602" s="30" t="str">
        <f t="shared" si="75"/>
        <v/>
      </c>
    </row>
    <row r="603" spans="2:25" x14ac:dyDescent="0.2">
      <c r="B603" s="34"/>
      <c r="C603" s="30" t="str">
        <f>IF(B603=0,"",IF('Imperial Data'!AG592&gt;=1, INDEX(Imperial_Incremental[], MATCH('Imperial Data'!AG592, Imperial_Incremental[Height], 1), MATCH('Cumulative Volumes Imperial'!$F$4, Imperial_Incremental[#Headers], 0)), 0))</f>
        <v/>
      </c>
      <c r="D603" s="30" t="str">
        <f>IF(B603=0,"",IF('Imperial Data'!AG592&gt;=1, INDEX(Imperial_Incremental[], MATCH('Imperial Data'!AG592, Imperial_Incremental[Height], 1), MATCH('Cumulative Volumes Imperial'!$F$4 &amp; "EC", Imperial_Incremental[#Headers], 0)), 0))</f>
        <v/>
      </c>
      <c r="E603" s="30"/>
      <c r="F603" s="30"/>
      <c r="G603" s="30"/>
      <c r="H603" s="30"/>
      <c r="I603" s="30"/>
      <c r="J603" s="30" t="str">
        <f>IF(B603="","",IF('Cumulative Volumes Imperial'!$AQ$17=FALSE,L603,K603))</f>
        <v/>
      </c>
      <c r="K603" s="30"/>
      <c r="L603" s="30"/>
      <c r="M603" s="30"/>
      <c r="N603" s="30"/>
      <c r="O603" s="30"/>
      <c r="P603" s="30" t="str">
        <f>IF(B603=0,"",(((1/12)*'Imperial Data'!$AC$4*'Imperial Data'!$AC$5)-C603)*$H$6)</f>
        <v/>
      </c>
      <c r="Q603" s="30"/>
      <c r="R603" s="30"/>
      <c r="S603" s="30"/>
      <c r="T603" s="30"/>
      <c r="U603" s="30"/>
      <c r="V603" s="30"/>
      <c r="W603" s="30" t="str">
        <f t="shared" si="74"/>
        <v/>
      </c>
      <c r="X603" s="31"/>
      <c r="Y603" s="30" t="str">
        <f t="shared" si="75"/>
        <v/>
      </c>
    </row>
    <row r="604" spans="2:25" x14ac:dyDescent="0.2">
      <c r="B604" s="34"/>
      <c r="C604" s="30" t="str">
        <f>IF(B604=0,"",IF('Imperial Data'!AG593&gt;=1, INDEX(Imperial_Incremental[], MATCH('Imperial Data'!AG593, Imperial_Incremental[Height], 1), MATCH('Cumulative Volumes Imperial'!$F$4, Imperial_Incremental[#Headers], 0)), 0))</f>
        <v/>
      </c>
      <c r="D604" s="30" t="str">
        <f>IF(B604=0,"",IF('Imperial Data'!AG593&gt;=1, INDEX(Imperial_Incremental[], MATCH('Imperial Data'!AG593, Imperial_Incremental[Height], 1), MATCH('Cumulative Volumes Imperial'!$F$4 &amp; "EC", Imperial_Incremental[#Headers], 0)), 0))</f>
        <v/>
      </c>
      <c r="E604" s="30"/>
      <c r="F604" s="30"/>
      <c r="G604" s="30"/>
      <c r="H604" s="30"/>
      <c r="I604" s="30"/>
      <c r="J604" s="30" t="str">
        <f>IF(B604="","",IF('Cumulative Volumes Imperial'!$AQ$17=FALSE,L604,K604))</f>
        <v/>
      </c>
      <c r="K604" s="30"/>
      <c r="L604" s="30"/>
      <c r="M604" s="30"/>
      <c r="N604" s="30"/>
      <c r="O604" s="30"/>
      <c r="P604" s="30" t="str">
        <f>IF(B604=0,"",(((1/12)*'Imperial Data'!$AC$4*'Imperial Data'!$AC$5)-C604)*$H$6)</f>
        <v/>
      </c>
      <c r="Q604" s="30"/>
      <c r="R604" s="30"/>
      <c r="S604" s="30"/>
      <c r="T604" s="30"/>
      <c r="U604" s="30"/>
      <c r="V604" s="30"/>
      <c r="W604" s="30" t="str">
        <f t="shared" si="74"/>
        <v/>
      </c>
      <c r="X604" s="31"/>
      <c r="Y604" s="30" t="str">
        <f t="shared" si="75"/>
        <v/>
      </c>
    </row>
    <row r="605" spans="2:25" x14ac:dyDescent="0.2">
      <c r="B605" s="34"/>
      <c r="C605" s="30" t="str">
        <f>IF(B605=0,"",IF('Imperial Data'!AG594&gt;=1, INDEX(Imperial_Incremental[], MATCH('Imperial Data'!AG594, Imperial_Incremental[Height], 1), MATCH('Cumulative Volumes Imperial'!$F$4, Imperial_Incremental[#Headers], 0)), 0))</f>
        <v/>
      </c>
      <c r="D605" s="30" t="str">
        <f>IF(B605=0,"",IF('Imperial Data'!AG594&gt;=1, INDEX(Imperial_Incremental[], MATCH('Imperial Data'!AG594, Imperial_Incremental[Height], 1), MATCH('Cumulative Volumes Imperial'!$F$4 &amp; "EC", Imperial_Incremental[#Headers], 0)), 0))</f>
        <v/>
      </c>
      <c r="E605" s="30"/>
      <c r="F605" s="30"/>
      <c r="G605" s="30"/>
      <c r="H605" s="30"/>
      <c r="I605" s="30"/>
      <c r="J605" s="30" t="str">
        <f>IF(B605="","",IF('Cumulative Volumes Imperial'!$AQ$17=FALSE,L605,K605))</f>
        <v/>
      </c>
      <c r="K605" s="30"/>
      <c r="L605" s="30"/>
      <c r="M605" s="30"/>
      <c r="N605" s="30"/>
      <c r="O605" s="30"/>
      <c r="P605" s="30" t="str">
        <f>IF(B605=0,"",(((1/12)*'Imperial Data'!$AC$4*'Imperial Data'!$AC$5)-C605)*$H$6)</f>
        <v/>
      </c>
      <c r="Q605" s="30"/>
      <c r="R605" s="30"/>
      <c r="S605" s="30"/>
      <c r="T605" s="30"/>
      <c r="U605" s="30"/>
      <c r="V605" s="30"/>
      <c r="W605" s="30" t="str">
        <f t="shared" si="74"/>
        <v/>
      </c>
      <c r="X605" s="31"/>
      <c r="Y605" s="30" t="str">
        <f t="shared" si="75"/>
        <v/>
      </c>
    </row>
    <row r="606" spans="2:25" x14ac:dyDescent="0.2">
      <c r="B606" s="34"/>
      <c r="C606" s="30" t="str">
        <f>IF(B606=0,"",IF('Imperial Data'!AG595&gt;=1, INDEX(Imperial_Incremental[], MATCH('Imperial Data'!AG595, Imperial_Incremental[Height], 1), MATCH('Cumulative Volumes Imperial'!$F$4, Imperial_Incremental[#Headers], 0)), 0))</f>
        <v/>
      </c>
      <c r="D606" s="30" t="str">
        <f>IF(B606=0,"",IF('Imperial Data'!AG595&gt;=1, INDEX(Imperial_Incremental[], MATCH('Imperial Data'!AG595, Imperial_Incremental[Height], 1), MATCH('Cumulative Volumes Imperial'!$F$4 &amp; "EC", Imperial_Incremental[#Headers], 0)), 0))</f>
        <v/>
      </c>
      <c r="E606" s="30"/>
      <c r="F606" s="30"/>
      <c r="G606" s="30"/>
      <c r="H606" s="30"/>
      <c r="I606" s="30"/>
      <c r="J606" s="30" t="str">
        <f>IF(B606="","",IF('Cumulative Volumes Imperial'!$AQ$17=FALSE,L606,K606))</f>
        <v/>
      </c>
      <c r="K606" s="30"/>
      <c r="L606" s="30"/>
      <c r="M606" s="30"/>
      <c r="N606" s="30"/>
      <c r="O606" s="30"/>
      <c r="P606" s="30" t="str">
        <f>IF(B606=0,"",(((1/12)*'Imperial Data'!$AC$4*'Imperial Data'!$AC$5)-C606)*$H$6)</f>
        <v/>
      </c>
      <c r="Q606" s="30"/>
      <c r="R606" s="30"/>
      <c r="S606" s="30"/>
      <c r="T606" s="30"/>
      <c r="U606" s="30"/>
      <c r="V606" s="30"/>
      <c r="W606" s="30" t="str">
        <f t="shared" si="74"/>
        <v/>
      </c>
      <c r="X606" s="31"/>
      <c r="Y606" s="30" t="str">
        <f t="shared" si="75"/>
        <v/>
      </c>
    </row>
    <row r="607" spans="2:25" x14ac:dyDescent="0.2">
      <c r="B607" s="34"/>
      <c r="C607" s="30" t="str">
        <f>IF(B607=0,"",IF('Imperial Data'!AG596&gt;=1, INDEX(Imperial_Incremental[], MATCH('Imperial Data'!AG596, Imperial_Incremental[Height], 1), MATCH('Cumulative Volumes Imperial'!$F$4, Imperial_Incremental[#Headers], 0)), 0))</f>
        <v/>
      </c>
      <c r="D607" s="30" t="str">
        <f>IF(B607=0,"",IF('Imperial Data'!AG596&gt;=1, INDEX(Imperial_Incremental[], MATCH('Imperial Data'!AG596, Imperial_Incremental[Height], 1), MATCH('Cumulative Volumes Imperial'!$F$4 &amp; "EC", Imperial_Incremental[#Headers], 0)), 0))</f>
        <v/>
      </c>
      <c r="E607" s="30"/>
      <c r="F607" s="30"/>
      <c r="G607" s="30"/>
      <c r="H607" s="30"/>
      <c r="I607" s="30"/>
      <c r="J607" s="30" t="str">
        <f>IF(B607="","",IF('Cumulative Volumes Imperial'!$AQ$17=FALSE,L607,K607))</f>
        <v/>
      </c>
      <c r="K607" s="30"/>
      <c r="L607" s="30"/>
      <c r="M607" s="30"/>
      <c r="N607" s="30"/>
      <c r="O607" s="30"/>
      <c r="P607" s="30" t="str">
        <f>IF(B607=0,"",(((1/12)*'Imperial Data'!$AC$4*'Imperial Data'!$AC$5)-C607)*$H$6)</f>
        <v/>
      </c>
      <c r="Q607" s="30"/>
      <c r="R607" s="30"/>
      <c r="S607" s="30"/>
      <c r="T607" s="30"/>
      <c r="U607" s="30"/>
      <c r="V607" s="30"/>
      <c r="W607" s="30" t="str">
        <f t="shared" si="74"/>
        <v/>
      </c>
      <c r="X607" s="31"/>
      <c r="Y607" s="30" t="str">
        <f t="shared" si="75"/>
        <v/>
      </c>
    </row>
    <row r="608" spans="2:25" x14ac:dyDescent="0.2">
      <c r="B608" s="34"/>
      <c r="C608" s="30" t="str">
        <f>IF(B608=0,"",IF('Imperial Data'!AG597&gt;=1, INDEX(Imperial_Incremental[], MATCH('Imperial Data'!AG597, Imperial_Incremental[Height], 1), MATCH('Cumulative Volumes Imperial'!$F$4, Imperial_Incremental[#Headers], 0)), 0))</f>
        <v/>
      </c>
      <c r="D608" s="30" t="str">
        <f>IF(B608=0,"",IF('Imperial Data'!AG597&gt;=1, INDEX(Imperial_Incremental[], MATCH('Imperial Data'!AG597, Imperial_Incremental[Height], 1), MATCH('Cumulative Volumes Imperial'!$F$4 &amp; "EC", Imperial_Incremental[#Headers], 0)), 0))</f>
        <v/>
      </c>
      <c r="E608" s="30"/>
      <c r="F608" s="30"/>
      <c r="G608" s="30"/>
      <c r="H608" s="30"/>
      <c r="I608" s="30"/>
      <c r="J608" s="30" t="str">
        <f>IF(B608="","",IF('Cumulative Volumes Imperial'!$AQ$17=FALSE,L608,K608))</f>
        <v/>
      </c>
      <c r="K608" s="30"/>
      <c r="L608" s="30"/>
      <c r="M608" s="30"/>
      <c r="N608" s="30"/>
      <c r="O608" s="30"/>
      <c r="P608" s="30" t="str">
        <f>IF(B608=0,"",(((1/12)*'Imperial Data'!$AC$4*'Imperial Data'!$AC$5)-C608)*$H$6)</f>
        <v/>
      </c>
      <c r="Q608" s="30"/>
      <c r="R608" s="30"/>
      <c r="S608" s="30"/>
      <c r="T608" s="30"/>
      <c r="U608" s="30"/>
      <c r="V608" s="30"/>
      <c r="W608" s="30" t="str">
        <f t="shared" si="74"/>
        <v/>
      </c>
      <c r="X608" s="31"/>
      <c r="Y608" s="30" t="str">
        <f t="shared" si="75"/>
        <v/>
      </c>
    </row>
    <row r="609" spans="2:25" x14ac:dyDescent="0.2">
      <c r="B609" s="34"/>
      <c r="C609" s="30" t="str">
        <f>IF(B609=0,"",IF('Imperial Data'!AG598&gt;=1, INDEX(Imperial_Incremental[], MATCH('Imperial Data'!AG598, Imperial_Incremental[Height], 1), MATCH('Cumulative Volumes Imperial'!$F$4, Imperial_Incremental[#Headers], 0)), 0))</f>
        <v/>
      </c>
      <c r="D609" s="30" t="str">
        <f>IF(B609=0,"",IF('Imperial Data'!AG598&gt;=1, INDEX(Imperial_Incremental[], MATCH('Imperial Data'!AG598, Imperial_Incremental[Height], 1), MATCH('Cumulative Volumes Imperial'!$F$4 &amp; "EC", Imperial_Incremental[#Headers], 0)), 0))</f>
        <v/>
      </c>
      <c r="E609" s="30"/>
      <c r="F609" s="30"/>
      <c r="G609" s="30"/>
      <c r="H609" s="30"/>
      <c r="I609" s="30"/>
      <c r="J609" s="30" t="str">
        <f>IF(B609="","",IF('Cumulative Volumes Imperial'!$AQ$17=FALSE,L609,K609))</f>
        <v/>
      </c>
      <c r="K609" s="30"/>
      <c r="L609" s="30"/>
      <c r="M609" s="30"/>
      <c r="N609" s="30"/>
      <c r="O609" s="30"/>
      <c r="P609" s="30" t="str">
        <f>IF(B609=0,"",(((1/12)*'Imperial Data'!$AC$4*'Imperial Data'!$AC$5)-C609)*$H$6)</f>
        <v/>
      </c>
      <c r="Q609" s="30"/>
      <c r="R609" s="30"/>
      <c r="S609" s="30"/>
      <c r="T609" s="30"/>
      <c r="U609" s="30"/>
      <c r="V609" s="30"/>
      <c r="W609" s="30" t="str">
        <f t="shared" si="74"/>
        <v/>
      </c>
      <c r="X609" s="31"/>
      <c r="Y609" s="30" t="str">
        <f t="shared" si="75"/>
        <v/>
      </c>
    </row>
    <row r="610" spans="2:25" x14ac:dyDescent="0.2">
      <c r="B610" s="34"/>
      <c r="C610" s="30" t="str">
        <f>IF(B610=0,"",IF('Imperial Data'!AG599&gt;=1, INDEX(Imperial_Incremental[], MATCH('Imperial Data'!AG599, Imperial_Incremental[Height], 1), MATCH('Cumulative Volumes Imperial'!$F$4, Imperial_Incremental[#Headers], 0)), 0))</f>
        <v/>
      </c>
      <c r="D610" s="30" t="str">
        <f>IF(B610=0,"",IF('Imperial Data'!AG599&gt;=1, INDEX(Imperial_Incremental[], MATCH('Imperial Data'!AG599, Imperial_Incremental[Height], 1), MATCH('Cumulative Volumes Imperial'!$F$4 &amp; "EC", Imperial_Incremental[#Headers], 0)), 0))</f>
        <v/>
      </c>
      <c r="E610" s="30"/>
      <c r="F610" s="30"/>
      <c r="G610" s="30"/>
      <c r="H610" s="30"/>
      <c r="I610" s="30"/>
      <c r="J610" s="30" t="str">
        <f>IF(B610="","",IF('Cumulative Volumes Imperial'!$AQ$17=FALSE,L610,K610))</f>
        <v/>
      </c>
      <c r="K610" s="30"/>
      <c r="L610" s="30"/>
      <c r="M610" s="30"/>
      <c r="N610" s="30"/>
      <c r="O610" s="30"/>
      <c r="P610" s="30" t="str">
        <f>IF(B610=0,"",(((1/12)*'Imperial Data'!$AC$4*'Imperial Data'!$AC$5)-C610)*$H$6)</f>
        <v/>
      </c>
      <c r="Q610" s="30"/>
      <c r="R610" s="30"/>
      <c r="S610" s="30"/>
      <c r="T610" s="30"/>
      <c r="U610" s="30"/>
      <c r="V610" s="30"/>
      <c r="W610" s="30" t="str">
        <f t="shared" si="74"/>
        <v/>
      </c>
      <c r="X610" s="31"/>
      <c r="Y610" s="30" t="str">
        <f t="shared" si="75"/>
        <v/>
      </c>
    </row>
    <row r="611" spans="2:25" x14ac:dyDescent="0.2">
      <c r="B611" s="34"/>
      <c r="C611" s="30" t="str">
        <f>IF(B611=0,"",IF('Imperial Data'!AG600&gt;=1, INDEX(Imperial_Incremental[], MATCH('Imperial Data'!AG600, Imperial_Incremental[Height], 1), MATCH('Cumulative Volumes Imperial'!$F$4, Imperial_Incremental[#Headers], 0)), 0))</f>
        <v/>
      </c>
      <c r="D611" s="30" t="str">
        <f>IF(B611=0,"",IF('Imperial Data'!AG600&gt;=1, INDEX(Imperial_Incremental[], MATCH('Imperial Data'!AG600, Imperial_Incremental[Height], 1), MATCH('Cumulative Volumes Imperial'!$F$4 &amp; "EC", Imperial_Incremental[#Headers], 0)), 0))</f>
        <v/>
      </c>
      <c r="E611" s="30"/>
      <c r="F611" s="30"/>
      <c r="G611" s="30"/>
      <c r="H611" s="30"/>
      <c r="I611" s="30"/>
      <c r="J611" s="30" t="str">
        <f>IF(B611="","",IF('Cumulative Volumes Imperial'!$AQ$17=FALSE,L611,K611))</f>
        <v/>
      </c>
      <c r="K611" s="30"/>
      <c r="L611" s="30"/>
      <c r="M611" s="30"/>
      <c r="N611" s="30"/>
      <c r="O611" s="30"/>
      <c r="P611" s="30" t="str">
        <f>IF(B611=0,"",(((1/12)*'Imperial Data'!$AC$4*'Imperial Data'!$AC$5)-C611)*$H$6)</f>
        <v/>
      </c>
      <c r="Q611" s="30"/>
      <c r="R611" s="30"/>
      <c r="S611" s="30"/>
      <c r="T611" s="30"/>
      <c r="U611" s="30"/>
      <c r="V611" s="30"/>
      <c r="W611" s="30" t="str">
        <f t="shared" si="74"/>
        <v/>
      </c>
      <c r="X611" s="31"/>
      <c r="Y611" s="30" t="str">
        <f t="shared" si="75"/>
        <v/>
      </c>
    </row>
    <row r="612" spans="2:25" x14ac:dyDescent="0.2">
      <c r="B612" s="34"/>
      <c r="C612" s="30" t="str">
        <f>IF(B612=0,"",IF('Imperial Data'!AG601&gt;=1, INDEX(Imperial_Incremental[], MATCH('Imperial Data'!AG601, Imperial_Incremental[Height], 1), MATCH('Cumulative Volumes Imperial'!$F$4, Imperial_Incremental[#Headers], 0)), 0))</f>
        <v/>
      </c>
      <c r="D612" s="30" t="str">
        <f>IF(B612=0,"",IF('Imperial Data'!AG601&gt;=1, INDEX(Imperial_Incremental[], MATCH('Imperial Data'!AG601, Imperial_Incremental[Height], 1), MATCH('Cumulative Volumes Imperial'!$F$4 &amp; "EC", Imperial_Incremental[#Headers], 0)), 0))</f>
        <v/>
      </c>
      <c r="E612" s="30"/>
      <c r="F612" s="30"/>
      <c r="G612" s="30"/>
      <c r="H612" s="30"/>
      <c r="I612" s="30"/>
      <c r="J612" s="30" t="str">
        <f>IF(B612="","",IF('Cumulative Volumes Imperial'!$AQ$17=FALSE,L612,K612))</f>
        <v/>
      </c>
      <c r="K612" s="30"/>
      <c r="L612" s="30"/>
      <c r="M612" s="30"/>
      <c r="N612" s="30"/>
      <c r="O612" s="30"/>
      <c r="P612" s="30" t="str">
        <f>IF(B612=0,"",(((1/12)*'Imperial Data'!$AC$4*'Imperial Data'!$AC$5)-C612)*$H$6)</f>
        <v/>
      </c>
      <c r="Q612" s="30"/>
      <c r="R612" s="30"/>
      <c r="S612" s="30"/>
      <c r="T612" s="30"/>
      <c r="U612" s="30"/>
      <c r="V612" s="30"/>
      <c r="W612" s="30" t="str">
        <f t="shared" si="74"/>
        <v/>
      </c>
      <c r="X612" s="31"/>
      <c r="Y612" s="30" t="str">
        <f t="shared" si="75"/>
        <v/>
      </c>
    </row>
    <row r="613" spans="2:25" x14ac:dyDescent="0.2">
      <c r="B613" s="34"/>
      <c r="C613" s="30" t="str">
        <f>IF(B613=0,"",IF('Imperial Data'!AG602&gt;=1, INDEX(Imperial_Incremental[], MATCH('Imperial Data'!AG602, Imperial_Incremental[Height], 1), MATCH('Cumulative Volumes Imperial'!$F$4, Imperial_Incremental[#Headers], 0)), 0))</f>
        <v/>
      </c>
      <c r="D613" s="30" t="str">
        <f>IF(B613=0,"",IF('Imperial Data'!AG602&gt;=1, INDEX(Imperial_Incremental[], MATCH('Imperial Data'!AG602, Imperial_Incremental[Height], 1), MATCH('Cumulative Volumes Imperial'!$F$4 &amp; "EC", Imperial_Incremental[#Headers], 0)), 0))</f>
        <v/>
      </c>
      <c r="E613" s="30"/>
      <c r="F613" s="30"/>
      <c r="G613" s="30"/>
      <c r="H613" s="30"/>
      <c r="I613" s="30"/>
      <c r="J613" s="30" t="str">
        <f>IF(B613="","",IF('Cumulative Volumes Imperial'!$AQ$17=FALSE,L613,K613))</f>
        <v/>
      </c>
      <c r="K613" s="30"/>
      <c r="L613" s="30"/>
      <c r="M613" s="30"/>
      <c r="N613" s="30"/>
      <c r="O613" s="30"/>
      <c r="P613" s="30" t="str">
        <f>IF(B613=0,"",(((1/12)*'Imperial Data'!$AC$4*'Imperial Data'!$AC$5)-C613)*$H$6)</f>
        <v/>
      </c>
      <c r="Q613" s="30"/>
      <c r="R613" s="30"/>
      <c r="S613" s="30"/>
      <c r="T613" s="30"/>
      <c r="U613" s="30"/>
      <c r="V613" s="30"/>
      <c r="W613" s="30" t="str">
        <f t="shared" si="74"/>
        <v/>
      </c>
      <c r="X613" s="31"/>
      <c r="Y613" s="30" t="str">
        <f t="shared" si="75"/>
        <v/>
      </c>
    </row>
    <row r="614" spans="2:25" x14ac:dyDescent="0.2">
      <c r="B614" s="34"/>
      <c r="C614" s="30" t="str">
        <f>IF(B614=0,"",IF('Imperial Data'!AG603&gt;=1, INDEX(Imperial_Incremental[], MATCH('Imperial Data'!AG603, Imperial_Incremental[Height], 1), MATCH('Cumulative Volumes Imperial'!$F$4, Imperial_Incremental[#Headers], 0)), 0))</f>
        <v/>
      </c>
      <c r="D614" s="30" t="str">
        <f>IF(B614=0,"",IF('Imperial Data'!AG603&gt;=1, INDEX(Imperial_Incremental[], MATCH('Imperial Data'!AG603, Imperial_Incremental[Height], 1), MATCH('Cumulative Volumes Imperial'!$F$4 &amp; "EC", Imperial_Incremental[#Headers], 0)), 0))</f>
        <v/>
      </c>
      <c r="E614" s="30"/>
      <c r="F614" s="30"/>
      <c r="G614" s="30"/>
      <c r="H614" s="30"/>
      <c r="I614" s="30"/>
      <c r="J614" s="30" t="str">
        <f>IF(B614="","",IF('Cumulative Volumes Imperial'!$AQ$17=FALSE,L614,K614))</f>
        <v/>
      </c>
      <c r="K614" s="30"/>
      <c r="L614" s="30"/>
      <c r="M614" s="30"/>
      <c r="N614" s="30"/>
      <c r="O614" s="30"/>
      <c r="P614" s="30" t="str">
        <f>IF(B614=0,"",(((1/12)*'Imperial Data'!$AC$4*'Imperial Data'!$AC$5)-C614)*$H$6)</f>
        <v/>
      </c>
      <c r="Q614" s="30"/>
      <c r="R614" s="30"/>
      <c r="S614" s="30"/>
      <c r="T614" s="30"/>
      <c r="U614" s="30"/>
      <c r="V614" s="30"/>
      <c r="W614" s="30" t="str">
        <f t="shared" si="74"/>
        <v/>
      </c>
      <c r="X614" s="31"/>
      <c r="Y614" s="30" t="str">
        <f t="shared" si="75"/>
        <v/>
      </c>
    </row>
    <row r="615" spans="2:25" x14ac:dyDescent="0.2">
      <c r="B615" s="34"/>
      <c r="C615" s="30" t="str">
        <f>IF(B615=0,"",IF('Imperial Data'!AG604&gt;=1, INDEX(Imperial_Incremental[], MATCH('Imperial Data'!AG604, Imperial_Incremental[Height], 1), MATCH('Cumulative Volumes Imperial'!$F$4, Imperial_Incremental[#Headers], 0)), 0))</f>
        <v/>
      </c>
      <c r="D615" s="30" t="str">
        <f>IF(B615=0,"",IF('Imperial Data'!AG604&gt;=1, INDEX(Imperial_Incremental[], MATCH('Imperial Data'!AG604, Imperial_Incremental[Height], 1), MATCH('Cumulative Volumes Imperial'!$F$4 &amp; "EC", Imperial_Incremental[#Headers], 0)), 0))</f>
        <v/>
      </c>
      <c r="E615" s="30"/>
      <c r="F615" s="30"/>
      <c r="G615" s="30"/>
      <c r="H615" s="30"/>
      <c r="I615" s="30"/>
      <c r="J615" s="30" t="str">
        <f>IF(B615="","",IF('Cumulative Volumes Imperial'!$AQ$17=FALSE,L615,K615))</f>
        <v/>
      </c>
      <c r="K615" s="30"/>
      <c r="L615" s="30"/>
      <c r="M615" s="30"/>
      <c r="N615" s="30"/>
      <c r="O615" s="30"/>
      <c r="P615" s="30" t="str">
        <f>IF(B615=0,"",(((1/12)*'Imperial Data'!$AC$4*'Imperial Data'!$AC$5)-C615)*$H$6)</f>
        <v/>
      </c>
      <c r="Q615" s="30"/>
      <c r="R615" s="30"/>
      <c r="S615" s="30"/>
      <c r="T615" s="30"/>
      <c r="U615" s="30"/>
      <c r="V615" s="30"/>
      <c r="W615" s="30" t="str">
        <f t="shared" si="74"/>
        <v/>
      </c>
      <c r="X615" s="31"/>
      <c r="Y615" s="30" t="str">
        <f t="shared" si="75"/>
        <v/>
      </c>
    </row>
    <row r="616" spans="2:25" x14ac:dyDescent="0.2">
      <c r="B616" s="34"/>
      <c r="C616" s="30" t="str">
        <f>IF(B616=0,"",IF('Imperial Data'!AG605&gt;=1, INDEX(Imperial_Incremental[], MATCH('Imperial Data'!AG605, Imperial_Incremental[Height], 1), MATCH('Cumulative Volumes Imperial'!$F$4, Imperial_Incremental[#Headers], 0)), 0))</f>
        <v/>
      </c>
      <c r="D616" s="30" t="str">
        <f>IF(B616=0,"",IF('Imperial Data'!AG605&gt;=1, INDEX(Imperial_Incremental[], MATCH('Imperial Data'!AG605, Imperial_Incremental[Height], 1), MATCH('Cumulative Volumes Imperial'!$F$4 &amp; "EC", Imperial_Incremental[#Headers], 0)), 0))</f>
        <v/>
      </c>
      <c r="E616" s="30"/>
      <c r="F616" s="30"/>
      <c r="G616" s="30"/>
      <c r="H616" s="30"/>
      <c r="I616" s="30"/>
      <c r="J616" s="30" t="str">
        <f>IF(B616="","",IF('Cumulative Volumes Imperial'!$AQ$17=FALSE,L616,K616))</f>
        <v/>
      </c>
      <c r="K616" s="30"/>
      <c r="L616" s="30"/>
      <c r="M616" s="30"/>
      <c r="N616" s="30"/>
      <c r="O616" s="30"/>
      <c r="P616" s="30" t="str">
        <f>IF(B616=0,"",(((1/12)*'Imperial Data'!$AC$4*'Imperial Data'!$AC$5)-C616)*$H$6)</f>
        <v/>
      </c>
      <c r="Q616" s="30"/>
      <c r="R616" s="30"/>
      <c r="S616" s="30"/>
      <c r="T616" s="30"/>
      <c r="U616" s="30"/>
      <c r="V616" s="30"/>
      <c r="W616" s="30" t="str">
        <f t="shared" si="74"/>
        <v/>
      </c>
      <c r="X616" s="31"/>
      <c r="Y616" s="30" t="str">
        <f t="shared" si="75"/>
        <v/>
      </c>
    </row>
    <row r="617" spans="2:25" x14ac:dyDescent="0.2">
      <c r="B617" s="34"/>
      <c r="C617" s="30" t="str">
        <f>IF(B617=0,"",IF('Imperial Data'!AG606&gt;=1, INDEX(Imperial_Incremental[], MATCH('Imperial Data'!AG606, Imperial_Incremental[Height], 1), MATCH('Cumulative Volumes Imperial'!$F$4, Imperial_Incremental[#Headers], 0)), 0))</f>
        <v/>
      </c>
      <c r="D617" s="30" t="str">
        <f>IF(B617=0,"",IF('Imperial Data'!AG606&gt;=1, INDEX(Imperial_Incremental[], MATCH('Imperial Data'!AG606, Imperial_Incremental[Height], 1), MATCH('Cumulative Volumes Imperial'!$F$4 &amp; "EC", Imperial_Incremental[#Headers], 0)), 0))</f>
        <v/>
      </c>
      <c r="E617" s="30"/>
      <c r="F617" s="30"/>
      <c r="G617" s="30"/>
      <c r="H617" s="30"/>
      <c r="I617" s="30"/>
      <c r="J617" s="30" t="str">
        <f>IF(B617="","",IF('Cumulative Volumes Imperial'!$AQ$17=FALSE,L617,K617))</f>
        <v/>
      </c>
      <c r="K617" s="30"/>
      <c r="L617" s="30"/>
      <c r="M617" s="30"/>
      <c r="N617" s="30"/>
      <c r="O617" s="30"/>
      <c r="P617" s="30" t="str">
        <f>IF(B617=0,"",(((1/12)*'Imperial Data'!$AC$4*'Imperial Data'!$AC$5)-C617)*$H$6)</f>
        <v/>
      </c>
      <c r="Q617" s="30"/>
      <c r="R617" s="30"/>
      <c r="S617" s="30"/>
      <c r="T617" s="30"/>
      <c r="U617" s="30"/>
      <c r="V617" s="30"/>
      <c r="W617" s="30" t="str">
        <f t="shared" si="74"/>
        <v/>
      </c>
      <c r="X617" s="31"/>
      <c r="Y617" s="30" t="str">
        <f t="shared" si="75"/>
        <v/>
      </c>
    </row>
    <row r="618" spans="2:25" x14ac:dyDescent="0.2">
      <c r="B618" s="34"/>
      <c r="C618" s="30" t="str">
        <f>IF(B618=0,"",IF('Imperial Data'!AG607&gt;=1, INDEX(Imperial_Incremental[], MATCH('Imperial Data'!AG607, Imperial_Incremental[Height], 1), MATCH('Cumulative Volumes Imperial'!$F$4, Imperial_Incremental[#Headers], 0)), 0))</f>
        <v/>
      </c>
      <c r="D618" s="30" t="str">
        <f>IF(B618=0,"",IF('Imperial Data'!AG607&gt;=1, INDEX(Imperial_Incremental[], MATCH('Imperial Data'!AG607, Imperial_Incremental[Height], 1), MATCH('Cumulative Volumes Imperial'!$F$4 &amp; "EC", Imperial_Incremental[#Headers], 0)), 0))</f>
        <v/>
      </c>
      <c r="E618" s="30"/>
      <c r="F618" s="30"/>
      <c r="G618" s="30"/>
      <c r="H618" s="30"/>
      <c r="I618" s="30"/>
      <c r="J618" s="30" t="str">
        <f>IF(B618="","",IF('Cumulative Volumes Imperial'!$AQ$17=FALSE,L618,K618))</f>
        <v/>
      </c>
      <c r="K618" s="30"/>
      <c r="L618" s="30"/>
      <c r="M618" s="30"/>
      <c r="N618" s="30"/>
      <c r="O618" s="30"/>
      <c r="P618" s="30" t="str">
        <f>IF(B618=0,"",(((1/12)*'Imperial Data'!$AC$4*'Imperial Data'!$AC$5)-C618)*$H$6)</f>
        <v/>
      </c>
      <c r="Q618" s="30"/>
      <c r="R618" s="30"/>
      <c r="S618" s="30"/>
      <c r="T618" s="30"/>
      <c r="U618" s="30"/>
      <c r="V618" s="30"/>
      <c r="W618" s="30" t="str">
        <f t="shared" si="74"/>
        <v/>
      </c>
      <c r="X618" s="31"/>
      <c r="Y618" s="30" t="str">
        <f t="shared" si="75"/>
        <v/>
      </c>
    </row>
    <row r="619" spans="2:25" x14ac:dyDescent="0.2">
      <c r="B619" s="34"/>
      <c r="C619" s="30" t="str">
        <f>IF(B619=0,"",IF('Imperial Data'!AG608&gt;=1, INDEX(Imperial_Incremental[], MATCH('Imperial Data'!AG608, Imperial_Incremental[Height], 1), MATCH('Cumulative Volumes Imperial'!$F$4, Imperial_Incremental[#Headers], 0)), 0))</f>
        <v/>
      </c>
      <c r="D619" s="30" t="str">
        <f>IF(B619=0,"",IF('Imperial Data'!AG608&gt;=1, INDEX(Imperial_Incremental[], MATCH('Imperial Data'!AG608, Imperial_Incremental[Height], 1), MATCH('Cumulative Volumes Imperial'!$F$4 &amp; "EC", Imperial_Incremental[#Headers], 0)), 0))</f>
        <v/>
      </c>
      <c r="E619" s="30"/>
      <c r="F619" s="30"/>
      <c r="G619" s="30"/>
      <c r="H619" s="30"/>
      <c r="I619" s="30"/>
      <c r="J619" s="30" t="str">
        <f>IF(B619="","",IF('Cumulative Volumes Imperial'!$AQ$17=FALSE,L619,K619))</f>
        <v/>
      </c>
      <c r="K619" s="30"/>
      <c r="L619" s="30"/>
      <c r="M619" s="30"/>
      <c r="N619" s="30"/>
      <c r="O619" s="30"/>
      <c r="P619" s="30" t="str">
        <f>IF(B619=0,"",(((1/12)*'Imperial Data'!$AC$4*'Imperial Data'!$AC$5)-C619)*$H$6)</f>
        <v/>
      </c>
      <c r="Q619" s="30"/>
      <c r="R619" s="30"/>
      <c r="S619" s="30"/>
      <c r="T619" s="30"/>
      <c r="U619" s="30"/>
      <c r="V619" s="30"/>
      <c r="W619" s="30" t="str">
        <f t="shared" si="74"/>
        <v/>
      </c>
      <c r="X619" s="31"/>
      <c r="Y619" s="30" t="str">
        <f t="shared" si="75"/>
        <v/>
      </c>
    </row>
    <row r="620" spans="2:25" x14ac:dyDescent="0.2">
      <c r="B620" s="34"/>
      <c r="C620" s="30" t="str">
        <f>IF(B620=0,"",IF('Imperial Data'!AG609&gt;=1, INDEX(Imperial_Incremental[], MATCH('Imperial Data'!AG609, Imperial_Incremental[Height], 1), MATCH('Cumulative Volumes Imperial'!$F$4, Imperial_Incremental[#Headers], 0)), 0))</f>
        <v/>
      </c>
      <c r="D620" s="30" t="str">
        <f>IF(B620=0,"",IF('Imperial Data'!AG609&gt;=1, INDEX(Imperial_Incremental[], MATCH('Imperial Data'!AG609, Imperial_Incremental[Height], 1), MATCH('Cumulative Volumes Imperial'!$F$4 &amp; "EC", Imperial_Incremental[#Headers], 0)), 0))</f>
        <v/>
      </c>
      <c r="E620" s="30"/>
      <c r="F620" s="30"/>
      <c r="G620" s="30"/>
      <c r="H620" s="30"/>
      <c r="I620" s="30"/>
      <c r="J620" s="30" t="str">
        <f>IF(B620="","",IF('Cumulative Volumes Imperial'!$AQ$17=FALSE,L620,K620))</f>
        <v/>
      </c>
      <c r="K620" s="30"/>
      <c r="L620" s="30"/>
      <c r="M620" s="30"/>
      <c r="N620" s="30"/>
      <c r="O620" s="30"/>
      <c r="P620" s="30" t="str">
        <f>IF(B620=0,"",(((1/12)*'Imperial Data'!$AC$4*'Imperial Data'!$AC$5)-C620)*$H$6)</f>
        <v/>
      </c>
      <c r="Q620" s="30"/>
      <c r="R620" s="30"/>
      <c r="S620" s="30"/>
      <c r="T620" s="30"/>
      <c r="U620" s="30"/>
      <c r="V620" s="30"/>
      <c r="W620" s="30" t="str">
        <f t="shared" si="74"/>
        <v/>
      </c>
      <c r="X620" s="31"/>
      <c r="Y620" s="30" t="str">
        <f t="shared" si="75"/>
        <v/>
      </c>
    </row>
    <row r="621" spans="2:25" x14ac:dyDescent="0.2">
      <c r="B621" s="34"/>
      <c r="C621" s="30" t="str">
        <f>IF(B621=0,"",IF('Imperial Data'!AG610&gt;=1, INDEX(Imperial_Incremental[], MATCH('Imperial Data'!AG610, Imperial_Incremental[Height], 1), MATCH('Cumulative Volumes Imperial'!$F$4, Imperial_Incremental[#Headers], 0)), 0))</f>
        <v/>
      </c>
      <c r="D621" s="30" t="str">
        <f>IF(B621=0,"",IF('Imperial Data'!AG610&gt;=1, INDEX(Imperial_Incremental[], MATCH('Imperial Data'!AG610, Imperial_Incremental[Height], 1), MATCH('Cumulative Volumes Imperial'!$F$4 &amp; "EC", Imperial_Incremental[#Headers], 0)), 0))</f>
        <v/>
      </c>
      <c r="E621" s="30"/>
      <c r="F621" s="30"/>
      <c r="G621" s="30"/>
      <c r="H621" s="30"/>
      <c r="I621" s="30"/>
      <c r="J621" s="30" t="str">
        <f>IF(B621="","",IF('Cumulative Volumes Imperial'!$AQ$17=FALSE,L621,K621))</f>
        <v/>
      </c>
      <c r="K621" s="30"/>
      <c r="L621" s="30"/>
      <c r="M621" s="30"/>
      <c r="N621" s="30"/>
      <c r="O621" s="30"/>
      <c r="P621" s="30" t="str">
        <f>IF(B621=0,"",(((1/12)*'Imperial Data'!$AC$4*'Imperial Data'!$AC$5)-C621)*$H$6)</f>
        <v/>
      </c>
      <c r="Q621" s="30"/>
      <c r="R621" s="30"/>
      <c r="S621" s="30"/>
      <c r="T621" s="30"/>
      <c r="U621" s="30"/>
      <c r="V621" s="30"/>
      <c r="W621" s="30" t="str">
        <f t="shared" si="74"/>
        <v/>
      </c>
      <c r="X621" s="31"/>
      <c r="Y621" s="30" t="str">
        <f t="shared" si="75"/>
        <v/>
      </c>
    </row>
    <row r="622" spans="2:25" x14ac:dyDescent="0.2">
      <c r="B622" s="34"/>
      <c r="C622" s="30" t="str">
        <f>IF(B622=0,"",IF('Imperial Data'!AG611&gt;=1, INDEX(Imperial_Incremental[], MATCH('Imperial Data'!AG611, Imperial_Incremental[Height], 1), MATCH('Cumulative Volumes Imperial'!$F$4, Imperial_Incremental[#Headers], 0)), 0))</f>
        <v/>
      </c>
      <c r="D622" s="30" t="str">
        <f>IF(B622=0,"",IF('Imperial Data'!AG611&gt;=1, INDEX(Imperial_Incremental[], MATCH('Imperial Data'!AG611, Imperial_Incremental[Height], 1), MATCH('Cumulative Volumes Imperial'!$F$4 &amp; "EC", Imperial_Incremental[#Headers], 0)), 0))</f>
        <v/>
      </c>
      <c r="E622" s="30"/>
      <c r="F622" s="30"/>
      <c r="G622" s="30"/>
      <c r="H622" s="30"/>
      <c r="I622" s="30"/>
      <c r="J622" s="30" t="str">
        <f>IF(B622="","",IF('Cumulative Volumes Imperial'!$AQ$17=FALSE,L622,K622))</f>
        <v/>
      </c>
      <c r="K622" s="30"/>
      <c r="L622" s="30"/>
      <c r="M622" s="30"/>
      <c r="N622" s="30"/>
      <c r="O622" s="30"/>
      <c r="P622" s="30" t="str">
        <f>IF(B622=0,"",(((1/12)*'Imperial Data'!$AC$4*'Imperial Data'!$AC$5)-C622)*$H$6)</f>
        <v/>
      </c>
      <c r="Q622" s="30"/>
      <c r="R622" s="30"/>
      <c r="S622" s="30"/>
      <c r="T622" s="30"/>
      <c r="U622" s="30"/>
      <c r="V622" s="30"/>
      <c r="W622" s="30" t="str">
        <f t="shared" si="74"/>
        <v/>
      </c>
      <c r="X622" s="31"/>
      <c r="Y622" s="30" t="str">
        <f t="shared" si="75"/>
        <v/>
      </c>
    </row>
    <row r="623" spans="2:25" x14ac:dyDescent="0.2">
      <c r="B623" s="34"/>
      <c r="C623" s="30" t="str">
        <f>IF(B623=0,"",IF('Imperial Data'!AG612&gt;=1, INDEX(Imperial_Incremental[], MATCH('Imperial Data'!AG612, Imperial_Incremental[Height], 1), MATCH('Cumulative Volumes Imperial'!$F$4, Imperial_Incremental[#Headers], 0)), 0))</f>
        <v/>
      </c>
      <c r="D623" s="30" t="str">
        <f>IF(B623=0,"",IF('Imperial Data'!AG612&gt;=1, INDEX(Imperial_Incremental[], MATCH('Imperial Data'!AG612, Imperial_Incremental[Height], 1), MATCH('Cumulative Volumes Imperial'!$F$4 &amp; "EC", Imperial_Incremental[#Headers], 0)), 0))</f>
        <v/>
      </c>
      <c r="E623" s="30"/>
      <c r="F623" s="30"/>
      <c r="G623" s="30"/>
      <c r="H623" s="30"/>
      <c r="I623" s="30"/>
      <c r="J623" s="30" t="str">
        <f>IF(B623="","",IF('Cumulative Volumes Imperial'!$AQ$17=FALSE,L623,K623))</f>
        <v/>
      </c>
      <c r="K623" s="30"/>
      <c r="L623" s="30"/>
      <c r="M623" s="30"/>
      <c r="N623" s="30"/>
      <c r="O623" s="30"/>
      <c r="P623" s="30" t="str">
        <f>IF(B623=0,"",(((1/12)*'Imperial Data'!$AC$4*'Imperial Data'!$AC$5)-C623)*$H$6)</f>
        <v/>
      </c>
      <c r="Q623" s="30"/>
      <c r="R623" s="30"/>
      <c r="S623" s="30"/>
      <c r="T623" s="30"/>
      <c r="U623" s="30"/>
      <c r="V623" s="30"/>
      <c r="W623" s="30" t="str">
        <f t="shared" si="74"/>
        <v/>
      </c>
      <c r="X623" s="31"/>
      <c r="Y623" s="30" t="str">
        <f t="shared" si="75"/>
        <v/>
      </c>
    </row>
    <row r="624" spans="2:25" x14ac:dyDescent="0.2">
      <c r="B624" s="34"/>
      <c r="C624" s="30" t="str">
        <f>IF(B624=0,"",IF('Imperial Data'!AG613&gt;=1, INDEX(Imperial_Incremental[], MATCH('Imperial Data'!AG613, Imperial_Incremental[Height], 1), MATCH('Cumulative Volumes Imperial'!$F$4, Imperial_Incremental[#Headers], 0)), 0))</f>
        <v/>
      </c>
      <c r="D624" s="30" t="str">
        <f>IF(B624=0,"",IF('Imperial Data'!AG613&gt;=1, INDEX(Imperial_Incremental[], MATCH('Imperial Data'!AG613, Imperial_Incremental[Height], 1), MATCH('Cumulative Volumes Imperial'!$F$4 &amp; "EC", Imperial_Incremental[#Headers], 0)), 0))</f>
        <v/>
      </c>
      <c r="E624" s="30"/>
      <c r="F624" s="30"/>
      <c r="G624" s="30"/>
      <c r="H624" s="30"/>
      <c r="I624" s="30"/>
      <c r="J624" s="30" t="str">
        <f>IF(B624="","",IF('Cumulative Volumes Imperial'!$AQ$17=FALSE,L624,K624))</f>
        <v/>
      </c>
      <c r="K624" s="30"/>
      <c r="L624" s="30"/>
      <c r="M624" s="30"/>
      <c r="N624" s="30"/>
      <c r="O624" s="30"/>
      <c r="P624" s="30" t="str">
        <f>IF(B624=0,"",(((1/12)*'Imperial Data'!$AC$4*'Imperial Data'!$AC$5)-C624)*$H$6)</f>
        <v/>
      </c>
      <c r="Q624" s="30"/>
      <c r="R624" s="30"/>
      <c r="S624" s="30"/>
      <c r="T624" s="30"/>
      <c r="U624" s="30"/>
      <c r="V624" s="30"/>
      <c r="W624" s="30" t="str">
        <f t="shared" si="74"/>
        <v/>
      </c>
      <c r="X624" s="31"/>
      <c r="Y624" s="30" t="str">
        <f t="shared" si="75"/>
        <v/>
      </c>
    </row>
    <row r="625" spans="2:25" x14ac:dyDescent="0.2">
      <c r="B625" s="34"/>
      <c r="C625" s="30" t="str">
        <f>IF(B625=0,"",IF('Imperial Data'!AG614&gt;=1, INDEX(Imperial_Incremental[], MATCH('Imperial Data'!AG614, Imperial_Incremental[Height], 1), MATCH('Cumulative Volumes Imperial'!$F$4, Imperial_Incremental[#Headers], 0)), 0))</f>
        <v/>
      </c>
      <c r="D625" s="30" t="str">
        <f>IF(B625=0,"",IF('Imperial Data'!AG614&gt;=1, INDEX(Imperial_Incremental[], MATCH('Imperial Data'!AG614, Imperial_Incremental[Height], 1), MATCH('Cumulative Volumes Imperial'!$F$4 &amp; "EC", Imperial_Incremental[#Headers], 0)), 0))</f>
        <v/>
      </c>
      <c r="E625" s="30"/>
      <c r="F625" s="30"/>
      <c r="G625" s="30"/>
      <c r="H625" s="30"/>
      <c r="I625" s="30"/>
      <c r="J625" s="30" t="str">
        <f>IF(B625="","",IF('Cumulative Volumes Imperial'!$AQ$17=FALSE,L625,K625))</f>
        <v/>
      </c>
      <c r="K625" s="30"/>
      <c r="L625" s="30"/>
      <c r="M625" s="30"/>
      <c r="N625" s="30"/>
      <c r="O625" s="30"/>
      <c r="P625" s="30" t="str">
        <f>IF(B625=0,"",(((1/12)*'Imperial Data'!$AC$4*'Imperial Data'!$AC$5)-C625)*$H$6)</f>
        <v/>
      </c>
      <c r="Q625" s="30"/>
      <c r="R625" s="30"/>
      <c r="S625" s="30"/>
      <c r="T625" s="30"/>
      <c r="U625" s="30"/>
      <c r="V625" s="30"/>
      <c r="W625" s="30" t="str">
        <f t="shared" si="74"/>
        <v/>
      </c>
      <c r="X625" s="31"/>
      <c r="Y625" s="30" t="str">
        <f t="shared" si="75"/>
        <v/>
      </c>
    </row>
    <row r="626" spans="2:25" x14ac:dyDescent="0.2">
      <c r="B626" s="34"/>
      <c r="C626" s="30" t="str">
        <f>IF(B626=0,"",IF('Imperial Data'!AG615&gt;=1, INDEX(Imperial_Incremental[], MATCH('Imperial Data'!AG615, Imperial_Incremental[Height], 1), MATCH('Cumulative Volumes Imperial'!$F$4, Imperial_Incremental[#Headers], 0)), 0))</f>
        <v/>
      </c>
      <c r="D626" s="30" t="str">
        <f>IF(B626=0,"",IF('Imperial Data'!AG615&gt;=1, INDEX(Imperial_Incremental[], MATCH('Imperial Data'!AG615, Imperial_Incremental[Height], 1), MATCH('Cumulative Volumes Imperial'!$F$4 &amp; "EC", Imperial_Incremental[#Headers], 0)), 0))</f>
        <v/>
      </c>
      <c r="E626" s="30"/>
      <c r="F626" s="30"/>
      <c r="G626" s="30"/>
      <c r="H626" s="30"/>
      <c r="I626" s="30"/>
      <c r="J626" s="30" t="str">
        <f>IF(B626="","",IF('Cumulative Volumes Imperial'!$AQ$17=FALSE,L626,K626))</f>
        <v/>
      </c>
      <c r="K626" s="30"/>
      <c r="L626" s="30"/>
      <c r="M626" s="30"/>
      <c r="N626" s="30"/>
      <c r="O626" s="30"/>
      <c r="P626" s="30" t="str">
        <f>IF(B626=0,"",(((1/12)*'Imperial Data'!$AC$4*'Imperial Data'!$AC$5)-C626)*$H$6)</f>
        <v/>
      </c>
      <c r="Q626" s="30"/>
      <c r="R626" s="30"/>
      <c r="S626" s="30"/>
      <c r="T626" s="30"/>
      <c r="U626" s="30"/>
      <c r="V626" s="30"/>
      <c r="W626" s="30" t="str">
        <f t="shared" si="74"/>
        <v/>
      </c>
      <c r="X626" s="31"/>
      <c r="Y626" s="30" t="str">
        <f t="shared" si="75"/>
        <v/>
      </c>
    </row>
    <row r="627" spans="2:25" x14ac:dyDescent="0.2">
      <c r="B627" s="34"/>
      <c r="C627" s="30" t="str">
        <f>IF(B627=0,"",IF('Imperial Data'!AG616&gt;=1, INDEX(Imperial_Incremental[], MATCH('Imperial Data'!AG616, Imperial_Incremental[Height], 1), MATCH('Cumulative Volumes Imperial'!$F$4, Imperial_Incremental[#Headers], 0)), 0))</f>
        <v/>
      </c>
      <c r="D627" s="30" t="str">
        <f>IF(B627=0,"",IF('Imperial Data'!AG616&gt;=1, INDEX(Imperial_Incremental[], MATCH('Imperial Data'!AG616, Imperial_Incremental[Height], 1), MATCH('Cumulative Volumes Imperial'!$F$4 &amp; "EC", Imperial_Incremental[#Headers], 0)), 0))</f>
        <v/>
      </c>
      <c r="E627" s="30"/>
      <c r="F627" s="30"/>
      <c r="G627" s="30"/>
      <c r="H627" s="30"/>
      <c r="I627" s="30"/>
      <c r="J627" s="30" t="str">
        <f>IF(B627="","",IF('Cumulative Volumes Imperial'!$AQ$17=FALSE,L627,K627))</f>
        <v/>
      </c>
      <c r="K627" s="30"/>
      <c r="L627" s="30"/>
      <c r="M627" s="30"/>
      <c r="N627" s="30"/>
      <c r="O627" s="30"/>
      <c r="P627" s="30" t="str">
        <f>IF(B627=0,"",(((1/12)*'Imperial Data'!$AC$4*'Imperial Data'!$AC$5)-C627)*$H$6)</f>
        <v/>
      </c>
      <c r="Q627" s="30"/>
      <c r="R627" s="30"/>
      <c r="S627" s="30"/>
      <c r="T627" s="30"/>
      <c r="U627" s="30"/>
      <c r="V627" s="30"/>
      <c r="W627" s="30" t="str">
        <f t="shared" si="74"/>
        <v/>
      </c>
      <c r="X627" s="31"/>
      <c r="Y627" s="30" t="str">
        <f t="shared" si="75"/>
        <v/>
      </c>
    </row>
    <row r="628" spans="2:25" x14ac:dyDescent="0.2">
      <c r="B628" s="34"/>
      <c r="C628" s="30" t="str">
        <f>IF(B628=0,"",IF('Imperial Data'!AG617&gt;=1, INDEX(Imperial_Incremental[], MATCH('Imperial Data'!AG617, Imperial_Incremental[Height], 1), MATCH('Cumulative Volumes Imperial'!$F$4, Imperial_Incremental[#Headers], 0)), 0))</f>
        <v/>
      </c>
      <c r="D628" s="30" t="str">
        <f>IF(B628=0,"",IF('Imperial Data'!AG617&gt;=1, INDEX(Imperial_Incremental[], MATCH('Imperial Data'!AG617, Imperial_Incremental[Height], 1), MATCH('Cumulative Volumes Imperial'!$F$4 &amp; "EC", Imperial_Incremental[#Headers], 0)), 0))</f>
        <v/>
      </c>
      <c r="E628" s="30"/>
      <c r="F628" s="30"/>
      <c r="G628" s="30"/>
      <c r="H628" s="30"/>
      <c r="I628" s="30"/>
      <c r="J628" s="30" t="str">
        <f>IF(B628="","",IF('Cumulative Volumes Imperial'!$AQ$17=FALSE,L628,K628))</f>
        <v/>
      </c>
      <c r="K628" s="30"/>
      <c r="L628" s="30"/>
      <c r="M628" s="30"/>
      <c r="N628" s="30"/>
      <c r="O628" s="30"/>
      <c r="P628" s="30" t="str">
        <f>IF(B628=0,"",(((1/12)*'Imperial Data'!$AC$4*'Imperial Data'!$AC$5)-C628)*$H$6)</f>
        <v/>
      </c>
      <c r="Q628" s="30"/>
      <c r="R628" s="30"/>
      <c r="S628" s="30"/>
      <c r="T628" s="30"/>
      <c r="U628" s="30"/>
      <c r="V628" s="30"/>
      <c r="W628" s="30" t="str">
        <f t="shared" si="74"/>
        <v/>
      </c>
      <c r="X628" s="31"/>
      <c r="Y628" s="30" t="str">
        <f t="shared" si="75"/>
        <v/>
      </c>
    </row>
    <row r="629" spans="2:25" x14ac:dyDescent="0.2">
      <c r="B629" s="34"/>
      <c r="C629" s="30" t="str">
        <f>IF(B629=0,"",IF('Imperial Data'!AG618&gt;=1, INDEX(Imperial_Incremental[], MATCH('Imperial Data'!AG618, Imperial_Incremental[Height], 1), MATCH('Cumulative Volumes Imperial'!$F$4, Imperial_Incremental[#Headers], 0)), 0))</f>
        <v/>
      </c>
      <c r="D629" s="30" t="str">
        <f>IF(B629=0,"",IF('Imperial Data'!AG618&gt;=1, INDEX(Imperial_Incremental[], MATCH('Imperial Data'!AG618, Imperial_Incremental[Height], 1), MATCH('Cumulative Volumes Imperial'!$F$4 &amp; "EC", Imperial_Incremental[#Headers], 0)), 0))</f>
        <v/>
      </c>
      <c r="E629" s="30"/>
      <c r="F629" s="30"/>
      <c r="G629" s="30"/>
      <c r="H629" s="30"/>
      <c r="I629" s="30"/>
      <c r="J629" s="30" t="str">
        <f>IF(B629="","",IF('Cumulative Volumes Imperial'!$AQ$17=FALSE,L629,K629))</f>
        <v/>
      </c>
      <c r="K629" s="30"/>
      <c r="L629" s="30"/>
      <c r="M629" s="30"/>
      <c r="N629" s="30"/>
      <c r="O629" s="30"/>
      <c r="P629" s="30" t="str">
        <f>IF(B629=0,"",(((1/12)*'Imperial Data'!$AC$4*'Imperial Data'!$AC$5)-C629)*$H$6)</f>
        <v/>
      </c>
      <c r="Q629" s="30"/>
      <c r="R629" s="30"/>
      <c r="S629" s="30"/>
      <c r="T629" s="30"/>
      <c r="U629" s="30"/>
      <c r="V629" s="30"/>
      <c r="W629" s="30" t="str">
        <f t="shared" si="74"/>
        <v/>
      </c>
      <c r="X629" s="31"/>
      <c r="Y629" s="30" t="str">
        <f t="shared" si="75"/>
        <v/>
      </c>
    </row>
    <row r="630" spans="2:25" x14ac:dyDescent="0.2">
      <c r="B630" s="34"/>
      <c r="C630" s="30" t="str">
        <f>IF(B630=0,"",IF('Imperial Data'!AG619&gt;=1, INDEX(Imperial_Incremental[], MATCH('Imperial Data'!AG619, Imperial_Incremental[Height], 1), MATCH('Cumulative Volumes Imperial'!$F$4, Imperial_Incremental[#Headers], 0)), 0))</f>
        <v/>
      </c>
      <c r="D630" s="30" t="str">
        <f>IF(B630=0,"",IF('Imperial Data'!AG619&gt;=1, INDEX(Imperial_Incremental[], MATCH('Imperial Data'!AG619, Imperial_Incremental[Height], 1), MATCH('Cumulative Volumes Imperial'!$F$4 &amp; "EC", Imperial_Incremental[#Headers], 0)), 0))</f>
        <v/>
      </c>
      <c r="E630" s="30"/>
      <c r="F630" s="30"/>
      <c r="G630" s="30"/>
      <c r="H630" s="30"/>
      <c r="I630" s="30"/>
      <c r="J630" s="30" t="str">
        <f>IF(B630="","",IF('Cumulative Volumes Imperial'!$AQ$17=FALSE,L630,K630))</f>
        <v/>
      </c>
      <c r="K630" s="30"/>
      <c r="L630" s="30"/>
      <c r="M630" s="30"/>
      <c r="N630" s="30"/>
      <c r="O630" s="30"/>
      <c r="P630" s="30" t="str">
        <f>IF(B630=0,"",(((1/12)*'Imperial Data'!$AC$4*'Imperial Data'!$AC$5)-C630)*$H$6)</f>
        <v/>
      </c>
      <c r="Q630" s="30"/>
      <c r="R630" s="30"/>
      <c r="S630" s="30"/>
      <c r="T630" s="30"/>
      <c r="U630" s="30"/>
      <c r="V630" s="30"/>
      <c r="W630" s="30" t="str">
        <f t="shared" si="74"/>
        <v/>
      </c>
      <c r="X630" s="31"/>
      <c r="Y630" s="30" t="str">
        <f t="shared" si="75"/>
        <v/>
      </c>
    </row>
    <row r="631" spans="2:25" x14ac:dyDescent="0.2">
      <c r="B631" s="34"/>
      <c r="C631" s="30" t="str">
        <f>IF(B631=0,"",IF('Imperial Data'!AG620&gt;=1, INDEX(Imperial_Incremental[], MATCH('Imperial Data'!AG620, Imperial_Incremental[Height], 1), MATCH('Cumulative Volumes Imperial'!$F$4, Imperial_Incremental[#Headers], 0)), 0))</f>
        <v/>
      </c>
      <c r="D631" s="30" t="str">
        <f>IF(B631=0,"",IF('Imperial Data'!AG620&gt;=1, INDEX(Imperial_Incremental[], MATCH('Imperial Data'!AG620, Imperial_Incremental[Height], 1), MATCH('Cumulative Volumes Imperial'!$F$4 &amp; "EC", Imperial_Incremental[#Headers], 0)), 0))</f>
        <v/>
      </c>
      <c r="E631" s="30"/>
      <c r="F631" s="30"/>
      <c r="G631" s="30"/>
      <c r="H631" s="30"/>
      <c r="I631" s="30"/>
      <c r="J631" s="30" t="str">
        <f>IF(B631="","",IF('Cumulative Volumes Imperial'!$AQ$17=FALSE,L631,K631))</f>
        <v/>
      </c>
      <c r="K631" s="30"/>
      <c r="L631" s="30"/>
      <c r="M631" s="30"/>
      <c r="N631" s="30"/>
      <c r="O631" s="30"/>
      <c r="P631" s="30" t="str">
        <f>IF(B631=0,"",(((1/12)*'Imperial Data'!$AC$4*'Imperial Data'!$AC$5)-C631)*$H$6)</f>
        <v/>
      </c>
      <c r="Q631" s="30"/>
      <c r="R631" s="30"/>
      <c r="S631" s="30"/>
      <c r="T631" s="30"/>
      <c r="U631" s="30"/>
      <c r="V631" s="30"/>
      <c r="W631" s="30" t="str">
        <f t="shared" si="74"/>
        <v/>
      </c>
      <c r="X631" s="31"/>
      <c r="Y631" s="30" t="str">
        <f t="shared" si="75"/>
        <v/>
      </c>
    </row>
    <row r="632" spans="2:25" x14ac:dyDescent="0.2">
      <c r="B632" s="34"/>
      <c r="C632" s="30" t="str">
        <f>IF(B632=0,"",IF('Imperial Data'!AG621&gt;=1, INDEX(Imperial_Incremental[], MATCH('Imperial Data'!AG621, Imperial_Incremental[Height], 1), MATCH('Cumulative Volumes Imperial'!$F$4, Imperial_Incremental[#Headers], 0)), 0))</f>
        <v/>
      </c>
      <c r="D632" s="30" t="str">
        <f>IF(B632=0,"",IF('Imperial Data'!AG621&gt;=1, INDEX(Imperial_Incremental[], MATCH('Imperial Data'!AG621, Imperial_Incremental[Height], 1), MATCH('Cumulative Volumes Imperial'!$F$4 &amp; "EC", Imperial_Incremental[#Headers], 0)), 0))</f>
        <v/>
      </c>
      <c r="E632" s="30"/>
      <c r="F632" s="30"/>
      <c r="G632" s="30"/>
      <c r="H632" s="30"/>
      <c r="I632" s="30"/>
      <c r="J632" s="30" t="str">
        <f>IF(B632="","",IF('Cumulative Volumes Imperial'!$AQ$17=FALSE,L632,K632))</f>
        <v/>
      </c>
      <c r="K632" s="30"/>
      <c r="L632" s="30"/>
      <c r="M632" s="30"/>
      <c r="N632" s="30"/>
      <c r="O632" s="30"/>
      <c r="P632" s="30" t="str">
        <f>IF(B632=0,"",(((1/12)*'Imperial Data'!$AC$4*'Imperial Data'!$AC$5)-C632)*$H$6)</f>
        <v/>
      </c>
      <c r="Q632" s="30"/>
      <c r="R632" s="30"/>
      <c r="S632" s="30"/>
      <c r="T632" s="30"/>
      <c r="U632" s="30"/>
      <c r="V632" s="30"/>
      <c r="W632" s="30" t="str">
        <f t="shared" si="74"/>
        <v/>
      </c>
      <c r="X632" s="31"/>
      <c r="Y632" s="30" t="str">
        <f t="shared" si="75"/>
        <v/>
      </c>
    </row>
    <row r="633" spans="2:25" x14ac:dyDescent="0.2">
      <c r="B633" s="34"/>
      <c r="C633" s="30" t="str">
        <f>IF(B633=0,"",IF('Imperial Data'!AG622&gt;=1, INDEX(Imperial_Incremental[], MATCH('Imperial Data'!AG622, Imperial_Incremental[Height], 1), MATCH('Cumulative Volumes Imperial'!$F$4, Imperial_Incremental[#Headers], 0)), 0))</f>
        <v/>
      </c>
      <c r="D633" s="30" t="str">
        <f>IF(B633=0,"",IF('Imperial Data'!AG622&gt;=1, INDEX(Imperial_Incremental[], MATCH('Imperial Data'!AG622, Imperial_Incremental[Height], 1), MATCH('Cumulative Volumes Imperial'!$F$4 &amp; "EC", Imperial_Incremental[#Headers], 0)), 0))</f>
        <v/>
      </c>
      <c r="E633" s="30"/>
      <c r="F633" s="30"/>
      <c r="G633" s="30"/>
      <c r="H633" s="30"/>
      <c r="I633" s="30"/>
      <c r="J633" s="30" t="str">
        <f>IF(B633="","",IF('Cumulative Volumes Imperial'!$AQ$17=FALSE,L633,K633))</f>
        <v/>
      </c>
      <c r="K633" s="30"/>
      <c r="L633" s="30"/>
      <c r="M633" s="30"/>
      <c r="N633" s="30"/>
      <c r="O633" s="30"/>
      <c r="P633" s="30" t="str">
        <f>IF(B633=0,"",(((1/12)*'Imperial Data'!$AC$4*'Imperial Data'!$AC$5)-C633)*$H$6)</f>
        <v/>
      </c>
      <c r="Q633" s="30"/>
      <c r="R633" s="30"/>
      <c r="S633" s="30"/>
      <c r="T633" s="30"/>
      <c r="U633" s="30"/>
      <c r="V633" s="30"/>
      <c r="W633" s="30" t="str">
        <f t="shared" si="74"/>
        <v/>
      </c>
      <c r="X633" s="31"/>
      <c r="Y633" s="30" t="str">
        <f t="shared" si="75"/>
        <v/>
      </c>
    </row>
    <row r="634" spans="2:25" x14ac:dyDescent="0.2">
      <c r="B634" s="34"/>
      <c r="C634" s="30" t="str">
        <f>IF(B634=0,"",IF('Imperial Data'!AG623&gt;=1, INDEX(Imperial_Incremental[], MATCH('Imperial Data'!AG623, Imperial_Incremental[Height], 1), MATCH('Cumulative Volumes Imperial'!$F$4, Imperial_Incremental[#Headers], 0)), 0))</f>
        <v/>
      </c>
      <c r="D634" s="30" t="str">
        <f>IF(B634=0,"",IF('Imperial Data'!AG623&gt;=1, INDEX(Imperial_Incremental[], MATCH('Imperial Data'!AG623, Imperial_Incremental[Height], 1), MATCH('Cumulative Volumes Imperial'!$F$4 &amp; "EC", Imperial_Incremental[#Headers], 0)), 0))</f>
        <v/>
      </c>
      <c r="E634" s="30"/>
      <c r="F634" s="30"/>
      <c r="G634" s="30"/>
      <c r="H634" s="30"/>
      <c r="I634" s="30"/>
      <c r="J634" s="30" t="str">
        <f>IF(B634="","",IF('Cumulative Volumes Imperial'!$AQ$17=FALSE,L634,K634))</f>
        <v/>
      </c>
      <c r="K634" s="30"/>
      <c r="L634" s="30"/>
      <c r="M634" s="30"/>
      <c r="N634" s="30"/>
      <c r="O634" s="30"/>
      <c r="P634" s="30" t="str">
        <f>IF(B634=0,"",(((1/12)*'Imperial Data'!$AC$4*'Imperial Data'!$AC$5)-C634)*$H$6)</f>
        <v/>
      </c>
      <c r="Q634" s="30"/>
      <c r="R634" s="30"/>
      <c r="S634" s="30"/>
      <c r="T634" s="30"/>
      <c r="U634" s="30"/>
      <c r="V634" s="30"/>
      <c r="W634" s="30" t="str">
        <f t="shared" si="74"/>
        <v/>
      </c>
      <c r="X634" s="31"/>
      <c r="Y634" s="30" t="str">
        <f t="shared" si="75"/>
        <v/>
      </c>
    </row>
    <row r="635" spans="2:25" x14ac:dyDescent="0.2">
      <c r="B635" s="34"/>
      <c r="C635" s="30" t="str">
        <f>IF(B635=0,"",IF('Imperial Data'!AG624&gt;=1, INDEX(Imperial_Incremental[], MATCH('Imperial Data'!AG624, Imperial_Incremental[Height], 1), MATCH('Cumulative Volumes Imperial'!$F$4, Imperial_Incremental[#Headers], 0)), 0))</f>
        <v/>
      </c>
      <c r="D635" s="30" t="str">
        <f>IF(B635=0,"",IF('Imperial Data'!AG624&gt;=1, INDEX(Imperial_Incremental[], MATCH('Imperial Data'!AG624, Imperial_Incremental[Height], 1), MATCH('Cumulative Volumes Imperial'!$F$4 &amp; "EC", Imperial_Incremental[#Headers], 0)), 0))</f>
        <v/>
      </c>
      <c r="E635" s="30"/>
      <c r="F635" s="30"/>
      <c r="G635" s="30"/>
      <c r="H635" s="30"/>
      <c r="I635" s="30"/>
      <c r="J635" s="30" t="str">
        <f>IF(B635="","",IF('Cumulative Volumes Imperial'!$AQ$17=FALSE,L635,K635))</f>
        <v/>
      </c>
      <c r="K635" s="30"/>
      <c r="L635" s="30"/>
      <c r="M635" s="30"/>
      <c r="N635" s="30"/>
      <c r="O635" s="30"/>
      <c r="P635" s="30" t="str">
        <f>IF(B635=0,"",(((1/12)*'Imperial Data'!$AC$4*'Imperial Data'!$AC$5)-C635)*$H$6)</f>
        <v/>
      </c>
      <c r="Q635" s="30"/>
      <c r="R635" s="30"/>
      <c r="S635" s="30"/>
      <c r="T635" s="30"/>
      <c r="U635" s="30"/>
      <c r="V635" s="30"/>
      <c r="W635" s="30" t="str">
        <f t="shared" si="74"/>
        <v/>
      </c>
      <c r="X635" s="31"/>
      <c r="Y635" s="30" t="str">
        <f t="shared" si="75"/>
        <v/>
      </c>
    </row>
    <row r="636" spans="2:25" x14ac:dyDescent="0.2">
      <c r="B636" s="34"/>
      <c r="C636" s="30" t="str">
        <f>IF(B636=0,"",IF('Imperial Data'!AG625&gt;=1, INDEX(Imperial_Incremental[], MATCH('Imperial Data'!AG625, Imperial_Incremental[Height], 1), MATCH('Cumulative Volumes Imperial'!$F$4, Imperial_Incremental[#Headers], 0)), 0))</f>
        <v/>
      </c>
      <c r="D636" s="30" t="str">
        <f>IF(B636=0,"",IF('Imperial Data'!AG625&gt;=1, INDEX(Imperial_Incremental[], MATCH('Imperial Data'!AG625, Imperial_Incremental[Height], 1), MATCH('Cumulative Volumes Imperial'!$F$4 &amp; "EC", Imperial_Incremental[#Headers], 0)), 0))</f>
        <v/>
      </c>
      <c r="E636" s="30"/>
      <c r="F636" s="30"/>
      <c r="G636" s="30"/>
      <c r="H636" s="30"/>
      <c r="I636" s="30"/>
      <c r="J636" s="30" t="str">
        <f>IF(B636="","",IF('Cumulative Volumes Imperial'!$AQ$17=FALSE,L636,K636))</f>
        <v/>
      </c>
      <c r="K636" s="30"/>
      <c r="L636" s="30"/>
      <c r="M636" s="30"/>
      <c r="N636" s="30"/>
      <c r="O636" s="30"/>
      <c r="P636" s="30" t="str">
        <f>IF(B636=0,"",(((1/12)*'Imperial Data'!$AC$4*'Imperial Data'!$AC$5)-C636)*$H$6)</f>
        <v/>
      </c>
      <c r="Q636" s="30"/>
      <c r="R636" s="30"/>
      <c r="S636" s="30"/>
      <c r="T636" s="30"/>
      <c r="U636" s="30"/>
      <c r="V636" s="30"/>
      <c r="W636" s="30" t="str">
        <f t="shared" si="74"/>
        <v/>
      </c>
      <c r="X636" s="31"/>
      <c r="Y636" s="30" t="str">
        <f t="shared" si="75"/>
        <v/>
      </c>
    </row>
    <row r="637" spans="2:25" x14ac:dyDescent="0.2">
      <c r="B637" s="34"/>
      <c r="C637" s="30" t="str">
        <f>IF(B637=0,"",IF('Imperial Data'!AG626&gt;=1, INDEX(Imperial_Incremental[], MATCH('Imperial Data'!AG626, Imperial_Incremental[Height], 1), MATCH('Cumulative Volumes Imperial'!$F$4, Imperial_Incremental[#Headers], 0)), 0))</f>
        <v/>
      </c>
      <c r="D637" s="30" t="str">
        <f>IF(B637=0,"",IF('Imperial Data'!AG626&gt;=1, INDEX(Imperial_Incremental[], MATCH('Imperial Data'!AG626, Imperial_Incremental[Height], 1), MATCH('Cumulative Volumes Imperial'!$F$4 &amp; "EC", Imperial_Incremental[#Headers], 0)), 0))</f>
        <v/>
      </c>
      <c r="E637" s="30"/>
      <c r="F637" s="30"/>
      <c r="G637" s="30"/>
      <c r="H637" s="30"/>
      <c r="I637" s="30"/>
      <c r="J637" s="30" t="str">
        <f>IF(B637="","",IF('Cumulative Volumes Imperial'!$AQ$17=FALSE,L637,K637))</f>
        <v/>
      </c>
      <c r="K637" s="30"/>
      <c r="L637" s="30"/>
      <c r="M637" s="30"/>
      <c r="N637" s="30"/>
      <c r="O637" s="30"/>
      <c r="P637" s="30" t="str">
        <f>IF(B637=0,"",(((1/12)*'Imperial Data'!$AC$4*'Imperial Data'!$AC$5)-C637)*$H$6)</f>
        <v/>
      </c>
      <c r="Q637" s="30"/>
      <c r="R637" s="30"/>
      <c r="S637" s="30"/>
      <c r="T637" s="30"/>
      <c r="U637" s="30"/>
      <c r="V637" s="30"/>
      <c r="W637" s="30" t="str">
        <f t="shared" si="74"/>
        <v/>
      </c>
      <c r="X637" s="31"/>
      <c r="Y637" s="30" t="str">
        <f t="shared" si="75"/>
        <v/>
      </c>
    </row>
    <row r="638" spans="2:25" x14ac:dyDescent="0.2">
      <c r="B638" s="34"/>
      <c r="C638" s="30" t="str">
        <f>IF(B638=0,"",IF('Imperial Data'!AG627&gt;=1, INDEX(Imperial_Incremental[], MATCH('Imperial Data'!AG627, Imperial_Incremental[Height], 1), MATCH('Cumulative Volumes Imperial'!$F$4, Imperial_Incremental[#Headers], 0)), 0))</f>
        <v/>
      </c>
      <c r="D638" s="30" t="str">
        <f>IF(B638=0,"",IF('Imperial Data'!AG627&gt;=1, INDEX(Imperial_Incremental[], MATCH('Imperial Data'!AG627, Imperial_Incremental[Height], 1), MATCH('Cumulative Volumes Imperial'!$F$4 &amp; "EC", Imperial_Incremental[#Headers], 0)), 0))</f>
        <v/>
      </c>
      <c r="E638" s="30"/>
      <c r="F638" s="30"/>
      <c r="G638" s="30"/>
      <c r="H638" s="30"/>
      <c r="I638" s="30"/>
      <c r="J638" s="30" t="str">
        <f>IF(B638="","",IF('Cumulative Volumes Imperial'!$AQ$17=FALSE,L638,K638))</f>
        <v/>
      </c>
      <c r="K638" s="30"/>
      <c r="L638" s="30"/>
      <c r="M638" s="30"/>
      <c r="N638" s="30"/>
      <c r="O638" s="30"/>
      <c r="P638" s="30" t="str">
        <f>IF(B638=0,"",(((1/12)*'Imperial Data'!$AC$4*'Imperial Data'!$AC$5)-C638)*$H$6)</f>
        <v/>
      </c>
      <c r="Q638" s="30"/>
      <c r="R638" s="30"/>
      <c r="S638" s="30"/>
      <c r="T638" s="30"/>
      <c r="U638" s="30"/>
      <c r="V638" s="30"/>
      <c r="W638" s="30" t="str">
        <f t="shared" si="74"/>
        <v/>
      </c>
      <c r="X638" s="31"/>
      <c r="Y638" s="30" t="str">
        <f t="shared" si="75"/>
        <v/>
      </c>
    </row>
    <row r="639" spans="2:25" x14ac:dyDescent="0.2">
      <c r="B639" s="34"/>
      <c r="C639" s="30" t="str">
        <f>IF(B639=0,"",IF('Imperial Data'!AG628&gt;=1, INDEX(Imperial_Incremental[], MATCH('Imperial Data'!AG628, Imperial_Incremental[Height], 1), MATCH('Cumulative Volumes Imperial'!$F$4, Imperial_Incremental[#Headers], 0)), 0))</f>
        <v/>
      </c>
      <c r="D639" s="30" t="str">
        <f>IF(B639=0,"",IF('Imperial Data'!AG628&gt;=1, INDEX(Imperial_Incremental[], MATCH('Imperial Data'!AG628, Imperial_Incremental[Height], 1), MATCH('Cumulative Volumes Imperial'!$F$4 &amp; "EC", Imperial_Incremental[#Headers], 0)), 0))</f>
        <v/>
      </c>
      <c r="E639" s="30"/>
      <c r="F639" s="30"/>
      <c r="G639" s="30"/>
      <c r="H639" s="30"/>
      <c r="I639" s="30"/>
      <c r="J639" s="30" t="str">
        <f>IF(B639="","",IF('Cumulative Volumes Imperial'!$AQ$17=FALSE,L639,K639))</f>
        <v/>
      </c>
      <c r="K639" s="30"/>
      <c r="L639" s="30"/>
      <c r="M639" s="30"/>
      <c r="N639" s="30"/>
      <c r="O639" s="30"/>
      <c r="P639" s="30" t="str">
        <f>IF(B639=0,"",(((1/12)*'Imperial Data'!$AC$4*'Imperial Data'!$AC$5)-C639)*$H$6)</f>
        <v/>
      </c>
      <c r="Q639" s="30"/>
      <c r="R639" s="30"/>
      <c r="S639" s="30"/>
      <c r="T639" s="30"/>
      <c r="U639" s="30"/>
      <c r="V639" s="30"/>
      <c r="W639" s="30" t="str">
        <f t="shared" si="74"/>
        <v/>
      </c>
      <c r="X639" s="31"/>
      <c r="Y639" s="30" t="str">
        <f t="shared" si="75"/>
        <v/>
      </c>
    </row>
    <row r="640" spans="2:25" x14ac:dyDescent="0.2">
      <c r="B640" s="34"/>
      <c r="C640" s="30" t="str">
        <f>IF(B640=0,"",IF('Imperial Data'!AG629&gt;=1, INDEX(Imperial_Incremental[], MATCH('Imperial Data'!AG629, Imperial_Incremental[Height], 1), MATCH('Cumulative Volumes Imperial'!$F$4, Imperial_Incremental[#Headers], 0)), 0))</f>
        <v/>
      </c>
      <c r="D640" s="30" t="str">
        <f>IF(B640=0,"",IF('Imperial Data'!AG629&gt;=1, INDEX(Imperial_Incremental[], MATCH('Imperial Data'!AG629, Imperial_Incremental[Height], 1), MATCH('Cumulative Volumes Imperial'!$F$4 &amp; "EC", Imperial_Incremental[#Headers], 0)), 0))</f>
        <v/>
      </c>
      <c r="E640" s="30"/>
      <c r="F640" s="30"/>
      <c r="G640" s="30"/>
      <c r="H640" s="30"/>
      <c r="I640" s="30"/>
      <c r="J640" s="30" t="str">
        <f>IF(B640="","",IF('Cumulative Volumes Imperial'!$AQ$17=FALSE,L640,K640))</f>
        <v/>
      </c>
      <c r="K640" s="30"/>
      <c r="L640" s="30"/>
      <c r="M640" s="30"/>
      <c r="N640" s="30"/>
      <c r="O640" s="30"/>
      <c r="P640" s="30" t="str">
        <f>IF(B640=0,"",(((1/12)*'Imperial Data'!$AC$4*'Imperial Data'!$AC$5)-C640)*$H$6)</f>
        <v/>
      </c>
      <c r="Q640" s="30"/>
      <c r="R640" s="30"/>
      <c r="S640" s="30"/>
      <c r="T640" s="30"/>
      <c r="U640" s="30"/>
      <c r="V640" s="30"/>
      <c r="W640" s="30" t="str">
        <f t="shared" si="74"/>
        <v/>
      </c>
      <c r="X640" s="31"/>
      <c r="Y640" s="30" t="str">
        <f t="shared" si="75"/>
        <v/>
      </c>
    </row>
    <row r="641" spans="2:25" x14ac:dyDescent="0.2">
      <c r="B641" s="34"/>
      <c r="C641" s="30" t="str">
        <f>IF(B641=0,"",IF('Imperial Data'!AG630&gt;=1, INDEX(Imperial_Incremental[], MATCH('Imperial Data'!AG630, Imperial_Incremental[Height], 1), MATCH('Cumulative Volumes Imperial'!$F$4, Imperial_Incremental[#Headers], 0)), 0))</f>
        <v/>
      </c>
      <c r="D641" s="30" t="str">
        <f>IF(B641=0,"",IF('Imperial Data'!AG630&gt;=1, INDEX(Imperial_Incremental[], MATCH('Imperial Data'!AG630, Imperial_Incremental[Height], 1), MATCH('Cumulative Volumes Imperial'!$F$4 &amp; "EC", Imperial_Incremental[#Headers], 0)), 0))</f>
        <v/>
      </c>
      <c r="E641" s="30"/>
      <c r="F641" s="30"/>
      <c r="G641" s="30"/>
      <c r="H641" s="30"/>
      <c r="I641" s="30"/>
      <c r="J641" s="30" t="str">
        <f>IF(B641="","",IF('Cumulative Volumes Imperial'!$AQ$17=FALSE,L641,K641))</f>
        <v/>
      </c>
      <c r="K641" s="30"/>
      <c r="L641" s="30"/>
      <c r="M641" s="30"/>
      <c r="N641" s="30"/>
      <c r="O641" s="30"/>
      <c r="P641" s="30" t="str">
        <f>IF(B641=0,"",(((1/12)*'Imperial Data'!$AC$4*'Imperial Data'!$AC$5)-C641)*$H$6)</f>
        <v/>
      </c>
      <c r="Q641" s="30"/>
      <c r="R641" s="30"/>
      <c r="S641" s="30"/>
      <c r="T641" s="30"/>
      <c r="U641" s="30"/>
      <c r="V641" s="30"/>
      <c r="W641" s="30" t="str">
        <f t="shared" si="74"/>
        <v/>
      </c>
      <c r="X641" s="31"/>
      <c r="Y641" s="30" t="str">
        <f t="shared" si="75"/>
        <v/>
      </c>
    </row>
    <row r="642" spans="2:25" x14ac:dyDescent="0.2">
      <c r="B642" s="34"/>
      <c r="C642" s="30" t="str">
        <f>IF(B642=0,"",IF('Imperial Data'!AG631&gt;=1, INDEX(Imperial_Incremental[], MATCH('Imperial Data'!AG631, Imperial_Incremental[Height], 1), MATCH('Cumulative Volumes Imperial'!$F$4, Imperial_Incremental[#Headers], 0)), 0))</f>
        <v/>
      </c>
      <c r="D642" s="30" t="str">
        <f>IF(B642=0,"",IF('Imperial Data'!AG631&gt;=1, INDEX(Imperial_Incremental[], MATCH('Imperial Data'!AG631, Imperial_Incremental[Height], 1), MATCH('Cumulative Volumes Imperial'!$F$4 &amp; "EC", Imperial_Incremental[#Headers], 0)), 0))</f>
        <v/>
      </c>
      <c r="E642" s="30"/>
      <c r="F642" s="30"/>
      <c r="G642" s="30"/>
      <c r="H642" s="30"/>
      <c r="I642" s="30"/>
      <c r="J642" s="30" t="str">
        <f>IF(B642="","",IF('Cumulative Volumes Imperial'!$AQ$17=FALSE,L642,K642))</f>
        <v/>
      </c>
      <c r="K642" s="30"/>
      <c r="L642" s="30"/>
      <c r="M642" s="30"/>
      <c r="N642" s="30"/>
      <c r="O642" s="30"/>
      <c r="P642" s="30" t="str">
        <f>IF(B642=0,"",(((1/12)*'Imperial Data'!$AC$4*'Imperial Data'!$AC$5)-C642)*$H$6)</f>
        <v/>
      </c>
      <c r="Q642" s="30"/>
      <c r="R642" s="30"/>
      <c r="S642" s="30"/>
      <c r="T642" s="30"/>
      <c r="U642" s="30"/>
      <c r="V642" s="30"/>
      <c r="W642" s="30" t="str">
        <f t="shared" si="74"/>
        <v/>
      </c>
      <c r="X642" s="31"/>
      <c r="Y642" s="30" t="str">
        <f t="shared" si="75"/>
        <v/>
      </c>
    </row>
    <row r="643" spans="2:25" x14ac:dyDescent="0.2">
      <c r="B643" s="34"/>
      <c r="C643" s="30" t="str">
        <f>IF(B643=0,"",IF('Imperial Data'!AG632&gt;=1, INDEX(Imperial_Incremental[], MATCH('Imperial Data'!AG632, Imperial_Incremental[Height], 1), MATCH('Cumulative Volumes Imperial'!$F$4, Imperial_Incremental[#Headers], 0)), 0))</f>
        <v/>
      </c>
      <c r="D643" s="30" t="str">
        <f>IF(B643=0,"",IF('Imperial Data'!AG632&gt;=1, INDEX(Imperial_Incremental[], MATCH('Imperial Data'!AG632, Imperial_Incremental[Height], 1), MATCH('Cumulative Volumes Imperial'!$F$4 &amp; "EC", Imperial_Incremental[#Headers], 0)), 0))</f>
        <v/>
      </c>
      <c r="E643" s="30"/>
      <c r="F643" s="30"/>
      <c r="G643" s="30"/>
      <c r="H643" s="30"/>
      <c r="I643" s="30"/>
      <c r="J643" s="30" t="str">
        <f>IF(B643="","",IF('Cumulative Volumes Imperial'!$AQ$17=FALSE,L643,K643))</f>
        <v/>
      </c>
      <c r="K643" s="30"/>
      <c r="L643" s="30"/>
      <c r="M643" s="30"/>
      <c r="N643" s="30"/>
      <c r="O643" s="30"/>
      <c r="P643" s="30" t="str">
        <f>IF(B643=0,"",(((1/12)*'Imperial Data'!$AC$4*'Imperial Data'!$AC$5)-C643)*$H$6)</f>
        <v/>
      </c>
      <c r="Q643" s="30"/>
      <c r="R643" s="30"/>
      <c r="S643" s="30"/>
      <c r="T643" s="30"/>
      <c r="U643" s="30"/>
      <c r="V643" s="30"/>
      <c r="W643" s="30" t="str">
        <f t="shared" si="74"/>
        <v/>
      </c>
      <c r="X643" s="31"/>
      <c r="Y643" s="30" t="str">
        <f t="shared" si="75"/>
        <v/>
      </c>
    </row>
    <row r="644" spans="2:25" x14ac:dyDescent="0.2">
      <c r="B644" s="34"/>
      <c r="C644" s="30" t="str">
        <f>IF(B644=0,"",IF('Imperial Data'!AG633&gt;=1, INDEX(Imperial_Incremental[], MATCH('Imperial Data'!AG633, Imperial_Incremental[Height], 1), MATCH('Cumulative Volumes Imperial'!$F$4, Imperial_Incremental[#Headers], 0)), 0))</f>
        <v/>
      </c>
      <c r="D644" s="30" t="str">
        <f>IF(B644=0,"",IF('Imperial Data'!AG633&gt;=1, INDEX(Imperial_Incremental[], MATCH('Imperial Data'!AG633, Imperial_Incremental[Height], 1), MATCH('Cumulative Volumes Imperial'!$F$4 &amp; "EC", Imperial_Incremental[#Headers], 0)), 0))</f>
        <v/>
      </c>
      <c r="E644" s="30"/>
      <c r="F644" s="30"/>
      <c r="G644" s="30"/>
      <c r="H644" s="30"/>
      <c r="I644" s="30"/>
      <c r="J644" s="30" t="str">
        <f>IF(B644="","",IF('Cumulative Volumes Imperial'!$AQ$17=FALSE,L644,K644))</f>
        <v/>
      </c>
      <c r="K644" s="30"/>
      <c r="L644" s="30"/>
      <c r="M644" s="30"/>
      <c r="N644" s="30"/>
      <c r="O644" s="30"/>
      <c r="P644" s="30" t="str">
        <f>IF(B644=0,"",(((1/12)*'Imperial Data'!$AC$4*'Imperial Data'!$AC$5)-C644)*$H$6)</f>
        <v/>
      </c>
      <c r="Q644" s="30"/>
      <c r="R644" s="30"/>
      <c r="S644" s="30"/>
      <c r="T644" s="30"/>
      <c r="U644" s="30"/>
      <c r="V644" s="30"/>
      <c r="W644" s="30" t="str">
        <f t="shared" si="74"/>
        <v/>
      </c>
      <c r="X644" s="31"/>
      <c r="Y644" s="30" t="str">
        <f t="shared" si="75"/>
        <v/>
      </c>
    </row>
    <row r="645" spans="2:25" x14ac:dyDescent="0.2">
      <c r="B645" s="34"/>
      <c r="C645" s="30" t="str">
        <f>IF(B645=0,"",IF('Imperial Data'!AG634&gt;=1, INDEX(Imperial_Incremental[], MATCH('Imperial Data'!AG634, Imperial_Incremental[Height], 1), MATCH('Cumulative Volumes Imperial'!$F$4, Imperial_Incremental[#Headers], 0)), 0))</f>
        <v/>
      </c>
      <c r="D645" s="30" t="str">
        <f>IF(B645=0,"",IF('Imperial Data'!AG634&gt;=1, INDEX(Imperial_Incremental[], MATCH('Imperial Data'!AG634, Imperial_Incremental[Height], 1), MATCH('Cumulative Volumes Imperial'!$F$4 &amp; "EC", Imperial_Incremental[#Headers], 0)), 0))</f>
        <v/>
      </c>
      <c r="E645" s="30"/>
      <c r="F645" s="30"/>
      <c r="G645" s="30"/>
      <c r="H645" s="30"/>
      <c r="I645" s="30"/>
      <c r="J645" s="30" t="str">
        <f>IF(B645="","",IF('Cumulative Volumes Imperial'!$AQ$17=FALSE,L645,K645))</f>
        <v/>
      </c>
      <c r="K645" s="30"/>
      <c r="L645" s="30"/>
      <c r="M645" s="30"/>
      <c r="N645" s="30"/>
      <c r="O645" s="30"/>
      <c r="P645" s="30" t="str">
        <f>IF(B645=0,"",(((1/12)*'Imperial Data'!$AC$4*'Imperial Data'!$AC$5)-C645)*$H$6)</f>
        <v/>
      </c>
      <c r="Q645" s="30"/>
      <c r="R645" s="30"/>
      <c r="S645" s="30"/>
      <c r="T645" s="30"/>
      <c r="U645" s="30"/>
      <c r="V645" s="30"/>
      <c r="W645" s="30" t="str">
        <f t="shared" si="74"/>
        <v/>
      </c>
      <c r="X645" s="31"/>
      <c r="Y645" s="30" t="str">
        <f t="shared" si="75"/>
        <v/>
      </c>
    </row>
    <row r="646" spans="2:25" x14ac:dyDescent="0.2">
      <c r="B646" s="34"/>
      <c r="C646" s="30" t="str">
        <f>IF(B646=0,"",IF('Imperial Data'!AG635&gt;=1, INDEX(Imperial_Incremental[], MATCH('Imperial Data'!AG635, Imperial_Incremental[Height], 1), MATCH('Cumulative Volumes Imperial'!$F$4, Imperial_Incremental[#Headers], 0)), 0))</f>
        <v/>
      </c>
      <c r="D646" s="30" t="str">
        <f>IF(B646=0,"",IF('Imperial Data'!AG635&gt;=1, INDEX(Imperial_Incremental[], MATCH('Imperial Data'!AG635, Imperial_Incremental[Height], 1), MATCH('Cumulative Volumes Imperial'!$F$4 &amp; "EC", Imperial_Incremental[#Headers], 0)), 0))</f>
        <v/>
      </c>
      <c r="E646" s="30"/>
      <c r="F646" s="30"/>
      <c r="G646" s="30"/>
      <c r="H646" s="30"/>
      <c r="I646" s="30"/>
      <c r="J646" s="30" t="str">
        <f>IF(B646="","",IF('Cumulative Volumes Imperial'!$AQ$17=FALSE,L646,K646))</f>
        <v/>
      </c>
      <c r="K646" s="30"/>
      <c r="L646" s="30"/>
      <c r="M646" s="30"/>
      <c r="N646" s="30"/>
      <c r="O646" s="30"/>
      <c r="P646" s="30" t="str">
        <f>IF(B646=0,"",(((1/12)*'Imperial Data'!$AC$4*'Imperial Data'!$AC$5)-C646)*$H$6)</f>
        <v/>
      </c>
      <c r="Q646" s="30"/>
      <c r="R646" s="30"/>
      <c r="S646" s="30"/>
      <c r="T646" s="30"/>
      <c r="U646" s="30"/>
      <c r="V646" s="30"/>
      <c r="W646" s="30" t="str">
        <f t="shared" si="74"/>
        <v/>
      </c>
      <c r="X646" s="31"/>
      <c r="Y646" s="30" t="str">
        <f t="shared" si="75"/>
        <v/>
      </c>
    </row>
    <row r="647" spans="2:25" x14ac:dyDescent="0.2">
      <c r="B647" s="34"/>
      <c r="C647" s="30" t="str">
        <f>IF(B647=0,"",IF('Imperial Data'!AG636&gt;=1, INDEX(Imperial_Incremental[], MATCH('Imperial Data'!AG636, Imperial_Incremental[Height], 1), MATCH('Cumulative Volumes Imperial'!$F$4, Imperial_Incremental[#Headers], 0)), 0))</f>
        <v/>
      </c>
      <c r="D647" s="30" t="str">
        <f>IF(B647=0,"",IF('Imperial Data'!AG636&gt;=1, INDEX(Imperial_Incremental[], MATCH('Imperial Data'!AG636, Imperial_Incremental[Height], 1), MATCH('Cumulative Volumes Imperial'!$F$4 &amp; "EC", Imperial_Incremental[#Headers], 0)), 0))</f>
        <v/>
      </c>
      <c r="E647" s="30"/>
      <c r="F647" s="30"/>
      <c r="G647" s="30"/>
      <c r="H647" s="30"/>
      <c r="I647" s="30"/>
      <c r="J647" s="30" t="str">
        <f>IF(B647="","",IF('Cumulative Volumes Imperial'!$AQ$17=FALSE,L647,K647))</f>
        <v/>
      </c>
      <c r="K647" s="30"/>
      <c r="L647" s="30"/>
      <c r="M647" s="30"/>
      <c r="N647" s="30"/>
      <c r="O647" s="30"/>
      <c r="P647" s="30" t="str">
        <f>IF(B647=0,"",(((1/12)*'Imperial Data'!$AC$4*'Imperial Data'!$AC$5)-C647)*$H$6)</f>
        <v/>
      </c>
      <c r="Q647" s="30"/>
      <c r="R647" s="30"/>
      <c r="S647" s="30"/>
      <c r="T647" s="30"/>
      <c r="U647" s="30"/>
      <c r="V647" s="30"/>
      <c r="W647" s="30" t="str">
        <f t="shared" si="74"/>
        <v/>
      </c>
      <c r="X647" s="31"/>
      <c r="Y647" s="30" t="str">
        <f t="shared" si="75"/>
        <v/>
      </c>
    </row>
    <row r="648" spans="2:25" x14ac:dyDescent="0.2">
      <c r="B648" s="34"/>
      <c r="C648" s="30" t="str">
        <f>IF(B648=0,"",IF('Imperial Data'!AG637&gt;=1, INDEX(Imperial_Incremental[], MATCH('Imperial Data'!AG637, Imperial_Incremental[Height], 1), MATCH('Cumulative Volumes Imperial'!$F$4, Imperial_Incremental[#Headers], 0)), 0))</f>
        <v/>
      </c>
      <c r="D648" s="30" t="str">
        <f>IF(B648=0,"",IF('Imperial Data'!AG637&gt;=1, INDEX(Imperial_Incremental[], MATCH('Imperial Data'!AG637, Imperial_Incremental[Height], 1), MATCH('Cumulative Volumes Imperial'!$F$4 &amp; "EC", Imperial_Incremental[#Headers], 0)), 0))</f>
        <v/>
      </c>
      <c r="E648" s="30"/>
      <c r="F648" s="30"/>
      <c r="G648" s="30"/>
      <c r="H648" s="30"/>
      <c r="I648" s="30"/>
      <c r="J648" s="30" t="str">
        <f>IF(B648="","",IF('Cumulative Volumes Imperial'!$AQ$17=FALSE,L648,K648))</f>
        <v/>
      </c>
      <c r="K648" s="30"/>
      <c r="L648" s="30"/>
      <c r="M648" s="30"/>
      <c r="N648" s="30"/>
      <c r="O648" s="30"/>
      <c r="P648" s="30" t="str">
        <f>IF(B648=0,"",(((1/12)*'Imperial Data'!$AC$4*'Imperial Data'!$AC$5)-C648)*$H$6)</f>
        <v/>
      </c>
      <c r="Q648" s="30"/>
      <c r="R648" s="30"/>
      <c r="S648" s="30"/>
      <c r="T648" s="30"/>
      <c r="U648" s="30"/>
      <c r="V648" s="30"/>
      <c r="W648" s="30" t="str">
        <f t="shared" si="74"/>
        <v/>
      </c>
      <c r="X648" s="31"/>
      <c r="Y648" s="30" t="str">
        <f t="shared" si="75"/>
        <v/>
      </c>
    </row>
    <row r="649" spans="2:25" x14ac:dyDescent="0.2">
      <c r="B649" s="34"/>
      <c r="C649" s="30" t="str">
        <f>IF(B649=0,"",IF('Imperial Data'!AG638&gt;=1, INDEX(Imperial_Incremental[], MATCH('Imperial Data'!AG638, Imperial_Incremental[Height], 1), MATCH('Cumulative Volumes Imperial'!$F$4, Imperial_Incremental[#Headers], 0)), 0))</f>
        <v/>
      </c>
      <c r="D649" s="30" t="str">
        <f>IF(B649=0,"",IF('Imperial Data'!AG638&gt;=1, INDEX(Imperial_Incremental[], MATCH('Imperial Data'!AG638, Imperial_Incremental[Height], 1), MATCH('Cumulative Volumes Imperial'!$F$4 &amp; "EC", Imperial_Incremental[#Headers], 0)), 0))</f>
        <v/>
      </c>
      <c r="E649" s="30"/>
      <c r="F649" s="30"/>
      <c r="G649" s="30"/>
      <c r="H649" s="30"/>
      <c r="I649" s="30"/>
      <c r="J649" s="30" t="str">
        <f>IF(B649="","",IF('Cumulative Volumes Imperial'!$AQ$17=FALSE,L649,K649))</f>
        <v/>
      </c>
      <c r="K649" s="30"/>
      <c r="L649" s="30"/>
      <c r="M649" s="30"/>
      <c r="N649" s="30"/>
      <c r="O649" s="30"/>
      <c r="P649" s="30" t="str">
        <f>IF(B649=0,"",(((1/12)*'Imperial Data'!$AC$4*'Imperial Data'!$AC$5)-C649)*$H$6)</f>
        <v/>
      </c>
      <c r="Q649" s="30"/>
      <c r="R649" s="30"/>
      <c r="S649" s="30"/>
      <c r="T649" s="30"/>
      <c r="U649" s="30"/>
      <c r="V649" s="30"/>
      <c r="W649" s="30" t="str">
        <f t="shared" si="74"/>
        <v/>
      </c>
      <c r="X649" s="31"/>
      <c r="Y649" s="30" t="str">
        <f t="shared" si="75"/>
        <v/>
      </c>
    </row>
    <row r="650" spans="2:25" x14ac:dyDescent="0.2">
      <c r="B650" s="34"/>
      <c r="C650" s="30" t="str">
        <f>IF(B650=0,"",IF('Imperial Data'!AG639&gt;=1, INDEX(Imperial_Incremental[], MATCH('Imperial Data'!AG639, Imperial_Incremental[Height], 1), MATCH('Cumulative Volumes Imperial'!$F$4, Imperial_Incremental[#Headers], 0)), 0))</f>
        <v/>
      </c>
      <c r="D650" s="30" t="str">
        <f>IF(B650=0,"",IF('Imperial Data'!AG639&gt;=1, INDEX(Imperial_Incremental[], MATCH('Imperial Data'!AG639, Imperial_Incremental[Height], 1), MATCH('Cumulative Volumes Imperial'!$F$4 &amp; "EC", Imperial_Incremental[#Headers], 0)), 0))</f>
        <v/>
      </c>
      <c r="E650" s="30"/>
      <c r="F650" s="30"/>
      <c r="G650" s="30"/>
      <c r="H650" s="30"/>
      <c r="I650" s="30"/>
      <c r="J650" s="30" t="str">
        <f>IF(B650="","",IF('Cumulative Volumes Imperial'!$AQ$17=FALSE,L650,K650))</f>
        <v/>
      </c>
      <c r="K650" s="30"/>
      <c r="L650" s="30"/>
      <c r="M650" s="30"/>
      <c r="N650" s="30"/>
      <c r="O650" s="30"/>
      <c r="P650" s="30" t="str">
        <f>IF(B650=0,"",(((1/12)*'Imperial Data'!$AC$4*'Imperial Data'!$AC$5)-C650)*$H$6)</f>
        <v/>
      </c>
      <c r="Q650" s="30"/>
      <c r="R650" s="30"/>
      <c r="S650" s="30"/>
      <c r="T650" s="30"/>
      <c r="U650" s="30"/>
      <c r="V650" s="30"/>
      <c r="W650" s="30" t="str">
        <f t="shared" si="74"/>
        <v/>
      </c>
      <c r="X650" s="31"/>
      <c r="Y650" s="30" t="str">
        <f t="shared" si="75"/>
        <v/>
      </c>
    </row>
    <row r="651" spans="2:25" x14ac:dyDescent="0.2">
      <c r="B651" s="34"/>
      <c r="C651" s="30" t="str">
        <f>IF(B651=0,"",IF('Imperial Data'!AG640&gt;=1, INDEX(Imperial_Incremental[], MATCH('Imperial Data'!AG640, Imperial_Incremental[Height], 1), MATCH('Cumulative Volumes Imperial'!$F$4, Imperial_Incremental[#Headers], 0)), 0))</f>
        <v/>
      </c>
      <c r="D651" s="30" t="str">
        <f>IF(B651=0,"",IF('Imperial Data'!AG640&gt;=1, INDEX(Imperial_Incremental[], MATCH('Imperial Data'!AG640, Imperial_Incremental[Height], 1), MATCH('Cumulative Volumes Imperial'!$F$4 &amp; "EC", Imperial_Incremental[#Headers], 0)), 0))</f>
        <v/>
      </c>
      <c r="E651" s="30"/>
      <c r="F651" s="30"/>
      <c r="G651" s="30"/>
      <c r="H651" s="30"/>
      <c r="I651" s="30"/>
      <c r="J651" s="30" t="str">
        <f>IF(B651="","",IF('Cumulative Volumes Imperial'!$AQ$17=FALSE,L651,K651))</f>
        <v/>
      </c>
      <c r="K651" s="30"/>
      <c r="L651" s="30"/>
      <c r="M651" s="30"/>
      <c r="N651" s="30"/>
      <c r="O651" s="30"/>
      <c r="P651" s="30" t="str">
        <f>IF(B651=0,"",(((1/12)*'Imperial Data'!$AC$4*'Imperial Data'!$AC$5)-C651)*$H$6)</f>
        <v/>
      </c>
      <c r="Q651" s="30"/>
      <c r="R651" s="30"/>
      <c r="S651" s="30"/>
      <c r="T651" s="30"/>
      <c r="U651" s="30"/>
      <c r="V651" s="30"/>
      <c r="W651" s="30" t="str">
        <f t="shared" si="74"/>
        <v/>
      </c>
      <c r="X651" s="31"/>
      <c r="Y651" s="30" t="str">
        <f t="shared" si="75"/>
        <v/>
      </c>
    </row>
    <row r="652" spans="2:25" x14ac:dyDescent="0.2">
      <c r="B652" s="34"/>
      <c r="C652" s="30" t="str">
        <f>IF(B652=0,"",IF('Imperial Data'!AG641&gt;=1, INDEX(Imperial_Incremental[], MATCH('Imperial Data'!AG641, Imperial_Incremental[Height], 1), MATCH('Cumulative Volumes Imperial'!$F$4, Imperial_Incremental[#Headers], 0)), 0))</f>
        <v/>
      </c>
      <c r="D652" s="30" t="str">
        <f>IF(B652=0,"",IF('Imperial Data'!AG641&gt;=1, INDEX(Imperial_Incremental[], MATCH('Imperial Data'!AG641, Imperial_Incremental[Height], 1), MATCH('Cumulative Volumes Imperial'!$F$4 &amp; "EC", Imperial_Incremental[#Headers], 0)), 0))</f>
        <v/>
      </c>
      <c r="E652" s="30"/>
      <c r="F652" s="30"/>
      <c r="G652" s="30"/>
      <c r="H652" s="30"/>
      <c r="I652" s="30"/>
      <c r="J652" s="30" t="str">
        <f>IF(B652="","",IF('Cumulative Volumes Imperial'!$AQ$17=FALSE,L652,K652))</f>
        <v/>
      </c>
      <c r="K652" s="30"/>
      <c r="L652" s="30"/>
      <c r="M652" s="30"/>
      <c r="N652" s="30"/>
      <c r="O652" s="30"/>
      <c r="P652" s="30" t="str">
        <f>IF(B652=0,"",(((1/12)*'Imperial Data'!$AC$4*'Imperial Data'!$AC$5)-C652)*$H$6)</f>
        <v/>
      </c>
      <c r="Q652" s="30"/>
      <c r="R652" s="30"/>
      <c r="S652" s="30"/>
      <c r="T652" s="30"/>
      <c r="U652" s="30"/>
      <c r="V652" s="30"/>
      <c r="W652" s="30" t="str">
        <f t="shared" si="74"/>
        <v/>
      </c>
      <c r="X652" s="31"/>
      <c r="Y652" s="30" t="str">
        <f t="shared" si="75"/>
        <v/>
      </c>
    </row>
    <row r="653" spans="2:25" x14ac:dyDescent="0.2">
      <c r="B653" s="34"/>
      <c r="C653" s="30" t="str">
        <f>IF(B653=0,"",IF('Imperial Data'!AG642&gt;=1, INDEX(Imperial_Incremental[], MATCH('Imperial Data'!AG642, Imperial_Incremental[Height], 1), MATCH('Cumulative Volumes Imperial'!$F$4, Imperial_Incremental[#Headers], 0)), 0))</f>
        <v/>
      </c>
      <c r="D653" s="30" t="str">
        <f>IF(B653=0,"",IF('Imperial Data'!AG642&gt;=1, INDEX(Imperial_Incremental[], MATCH('Imperial Data'!AG642, Imperial_Incremental[Height], 1), MATCH('Cumulative Volumes Imperial'!$F$4 &amp; "EC", Imperial_Incremental[#Headers], 0)), 0))</f>
        <v/>
      </c>
      <c r="E653" s="30"/>
      <c r="F653" s="30"/>
      <c r="G653" s="30"/>
      <c r="H653" s="30"/>
      <c r="I653" s="30"/>
      <c r="J653" s="30" t="str">
        <f>IF(B653="","",IF('Cumulative Volumes Imperial'!$AQ$17=FALSE,L653,K653))</f>
        <v/>
      </c>
      <c r="K653" s="30"/>
      <c r="L653" s="30"/>
      <c r="M653" s="30"/>
      <c r="N653" s="30"/>
      <c r="O653" s="30"/>
      <c r="P653" s="30" t="str">
        <f>IF(B653=0,"",(((1/12)*'Imperial Data'!$AC$4*'Imperial Data'!$AC$5)-C653)*$H$6)</f>
        <v/>
      </c>
      <c r="Q653" s="30"/>
      <c r="R653" s="30"/>
      <c r="S653" s="30"/>
      <c r="T653" s="30"/>
      <c r="U653" s="30"/>
      <c r="V653" s="30"/>
      <c r="W653" s="30" t="str">
        <f t="shared" si="74"/>
        <v/>
      </c>
      <c r="X653" s="31"/>
      <c r="Y653" s="30" t="str">
        <f t="shared" si="75"/>
        <v/>
      </c>
    </row>
    <row r="654" spans="2:25" x14ac:dyDescent="0.2">
      <c r="B654" s="34"/>
      <c r="C654" s="30" t="str">
        <f>IF(B654=0,"",IF('Imperial Data'!AG643&gt;=1, INDEX(Imperial_Incremental[], MATCH('Imperial Data'!AG643, Imperial_Incremental[Height], 1), MATCH('Cumulative Volumes Imperial'!$F$4, Imperial_Incremental[#Headers], 0)), 0))</f>
        <v/>
      </c>
      <c r="D654" s="30" t="str">
        <f>IF(B654=0,"",IF('Imperial Data'!AG643&gt;=1, INDEX(Imperial_Incremental[], MATCH('Imperial Data'!AG643, Imperial_Incremental[Height], 1), MATCH('Cumulative Volumes Imperial'!$F$4 &amp; "EC", Imperial_Incremental[#Headers], 0)), 0))</f>
        <v/>
      </c>
      <c r="E654" s="30"/>
      <c r="F654" s="30"/>
      <c r="G654" s="30"/>
      <c r="H654" s="30"/>
      <c r="I654" s="30"/>
      <c r="J654" s="30" t="str">
        <f>IF(B654="","",IF('Cumulative Volumes Imperial'!$AQ$17=FALSE,L654,K654))</f>
        <v/>
      </c>
      <c r="K654" s="30"/>
      <c r="L654" s="30"/>
      <c r="M654" s="30"/>
      <c r="N654" s="30"/>
      <c r="O654" s="30"/>
      <c r="P654" s="30" t="str">
        <f>IF(B654=0,"",(((1/12)*'Imperial Data'!$AC$4*'Imperial Data'!$AC$5)-C654)*$H$6)</f>
        <v/>
      </c>
      <c r="Q654" s="30"/>
      <c r="R654" s="30"/>
      <c r="S654" s="30"/>
      <c r="T654" s="30"/>
      <c r="U654" s="30"/>
      <c r="V654" s="30"/>
      <c r="W654" s="30" t="str">
        <f t="shared" si="74"/>
        <v/>
      </c>
      <c r="X654" s="31"/>
      <c r="Y654" s="30" t="str">
        <f t="shared" si="75"/>
        <v/>
      </c>
    </row>
    <row r="655" spans="2:25" x14ac:dyDescent="0.2">
      <c r="B655" s="34"/>
      <c r="C655" s="30" t="str">
        <f>IF(B655=0,"",IF('Imperial Data'!AG644&gt;=1, INDEX(Imperial_Incremental[], MATCH('Imperial Data'!AG644, Imperial_Incremental[Height], 1), MATCH('Cumulative Volumes Imperial'!$F$4, Imperial_Incremental[#Headers], 0)), 0))</f>
        <v/>
      </c>
      <c r="D655" s="30" t="str">
        <f>IF(B655=0,"",IF('Imperial Data'!AG644&gt;=1, INDEX(Imperial_Incremental[], MATCH('Imperial Data'!AG644, Imperial_Incremental[Height], 1), MATCH('Cumulative Volumes Imperial'!$F$4 &amp; "EC", Imperial_Incremental[#Headers], 0)), 0))</f>
        <v/>
      </c>
      <c r="E655" s="30"/>
      <c r="F655" s="30"/>
      <c r="G655" s="30"/>
      <c r="H655" s="30"/>
      <c r="I655" s="30"/>
      <c r="J655" s="30" t="str">
        <f>IF(B655="","",IF('Cumulative Volumes Imperial'!$AQ$17=FALSE,L655,K655))</f>
        <v/>
      </c>
      <c r="K655" s="30"/>
      <c r="L655" s="30"/>
      <c r="M655" s="30"/>
      <c r="N655" s="30"/>
      <c r="O655" s="30"/>
      <c r="P655" s="30" t="str">
        <f>IF(B655=0,"",(((1/12)*'Imperial Data'!$AC$4*'Imperial Data'!$AC$5)-C655)*$H$6)</f>
        <v/>
      </c>
      <c r="Q655" s="30"/>
      <c r="R655" s="30"/>
      <c r="S655" s="30"/>
      <c r="T655" s="30"/>
      <c r="U655" s="30"/>
      <c r="V655" s="30"/>
      <c r="W655" s="30" t="str">
        <f t="shared" ref="W655:W718" si="76">IF(B655=0,"",IF(B655=1,D655+R655,W656+D655+R655))</f>
        <v/>
      </c>
      <c r="X655" s="31"/>
      <c r="Y655" s="30" t="str">
        <f t="shared" ref="Y655:Y718" si="77">IF(B655=0,"",$E$7+B655/12)</f>
        <v/>
      </c>
    </row>
    <row r="656" spans="2:25" x14ac:dyDescent="0.2">
      <c r="B656" s="34"/>
      <c r="C656" s="30" t="str">
        <f>IF(B656=0,"",IF('Imperial Data'!AG645&gt;=1, INDEX(Imperial_Incremental[], MATCH('Imperial Data'!AG645, Imperial_Incremental[Height], 1), MATCH('Cumulative Volumes Imperial'!$F$4, Imperial_Incremental[#Headers], 0)), 0))</f>
        <v/>
      </c>
      <c r="D656" s="30" t="str">
        <f>IF(B656=0,"",IF('Imperial Data'!AG645&gt;=1, INDEX(Imperial_Incremental[], MATCH('Imperial Data'!AG645, Imperial_Incremental[Height], 1), MATCH('Cumulative Volumes Imperial'!$F$4 &amp; "EC", Imperial_Incremental[#Headers], 0)), 0))</f>
        <v/>
      </c>
      <c r="E656" s="30"/>
      <c r="F656" s="30"/>
      <c r="G656" s="30"/>
      <c r="H656" s="30"/>
      <c r="I656" s="30"/>
      <c r="J656" s="30" t="str">
        <f>IF(B656="","",IF('Cumulative Volumes Imperial'!$AQ$17=FALSE,L656,K656))</f>
        <v/>
      </c>
      <c r="K656" s="30"/>
      <c r="L656" s="30"/>
      <c r="M656" s="30"/>
      <c r="N656" s="30"/>
      <c r="O656" s="30"/>
      <c r="P656" s="30" t="str">
        <f>IF(B656=0,"",(((1/12)*'Imperial Data'!$AC$4*'Imperial Data'!$AC$5)-C656)*$H$6)</f>
        <v/>
      </c>
      <c r="Q656" s="30"/>
      <c r="R656" s="30"/>
      <c r="S656" s="30"/>
      <c r="T656" s="30"/>
      <c r="U656" s="30"/>
      <c r="V656" s="30"/>
      <c r="W656" s="30" t="str">
        <f t="shared" si="76"/>
        <v/>
      </c>
      <c r="X656" s="31"/>
      <c r="Y656" s="30" t="str">
        <f t="shared" si="77"/>
        <v/>
      </c>
    </row>
    <row r="657" spans="2:25" x14ac:dyDescent="0.2">
      <c r="B657" s="34"/>
      <c r="C657" s="30" t="str">
        <f>IF(B657=0,"",IF('Imperial Data'!AG646&gt;=1, INDEX(Imperial_Incremental[], MATCH('Imperial Data'!AG646, Imperial_Incremental[Height], 1), MATCH('Cumulative Volumes Imperial'!$F$4, Imperial_Incremental[#Headers], 0)), 0))</f>
        <v/>
      </c>
      <c r="D657" s="30" t="str">
        <f>IF(B657=0,"",IF('Imperial Data'!AG646&gt;=1, INDEX(Imperial_Incremental[], MATCH('Imperial Data'!AG646, Imperial_Incremental[Height], 1), MATCH('Cumulative Volumes Imperial'!$F$4 &amp; "EC", Imperial_Incremental[#Headers], 0)), 0))</f>
        <v/>
      </c>
      <c r="E657" s="30"/>
      <c r="F657" s="30"/>
      <c r="G657" s="30"/>
      <c r="H657" s="30"/>
      <c r="I657" s="30"/>
      <c r="J657" s="30" t="str">
        <f>IF(B657="","",IF('Cumulative Volumes Imperial'!$AQ$17=FALSE,L657,K657))</f>
        <v/>
      </c>
      <c r="K657" s="30"/>
      <c r="L657" s="30"/>
      <c r="M657" s="30"/>
      <c r="N657" s="30"/>
      <c r="O657" s="30"/>
      <c r="P657" s="30" t="str">
        <f>IF(B657=0,"",(((1/12)*'Imperial Data'!$AC$4*'Imperial Data'!$AC$5)-C657)*$H$6)</f>
        <v/>
      </c>
      <c r="Q657" s="30"/>
      <c r="R657" s="30"/>
      <c r="S657" s="30"/>
      <c r="T657" s="30"/>
      <c r="U657" s="30"/>
      <c r="V657" s="30"/>
      <c r="W657" s="30" t="str">
        <f t="shared" si="76"/>
        <v/>
      </c>
      <c r="X657" s="31"/>
      <c r="Y657" s="30" t="str">
        <f t="shared" si="77"/>
        <v/>
      </c>
    </row>
    <row r="658" spans="2:25" x14ac:dyDescent="0.2">
      <c r="B658" s="34"/>
      <c r="C658" s="30" t="str">
        <f>IF(B658=0,"",IF('Imperial Data'!AG647&gt;=1, INDEX(Imperial_Incremental[], MATCH('Imperial Data'!AG647, Imperial_Incremental[Height], 1), MATCH('Cumulative Volumes Imperial'!$F$4, Imperial_Incremental[#Headers], 0)), 0))</f>
        <v/>
      </c>
      <c r="D658" s="30" t="str">
        <f>IF(B658=0,"",IF('Imperial Data'!AG647&gt;=1, INDEX(Imperial_Incremental[], MATCH('Imperial Data'!AG647, Imperial_Incremental[Height], 1), MATCH('Cumulative Volumes Imperial'!$F$4 &amp; "EC", Imperial_Incremental[#Headers], 0)), 0))</f>
        <v/>
      </c>
      <c r="E658" s="30"/>
      <c r="F658" s="30"/>
      <c r="G658" s="30"/>
      <c r="H658" s="30"/>
      <c r="I658" s="30"/>
      <c r="J658" s="30" t="str">
        <f>IF(B658="","",IF('Cumulative Volumes Imperial'!$AQ$17=FALSE,L658,K658))</f>
        <v/>
      </c>
      <c r="K658" s="30"/>
      <c r="L658" s="30"/>
      <c r="M658" s="30"/>
      <c r="N658" s="30"/>
      <c r="O658" s="30"/>
      <c r="P658" s="30" t="str">
        <f>IF(B658=0,"",(((1/12)*'Imperial Data'!$AC$4*'Imperial Data'!$AC$5)-C658)*$H$6)</f>
        <v/>
      </c>
      <c r="Q658" s="30"/>
      <c r="R658" s="30"/>
      <c r="S658" s="30"/>
      <c r="T658" s="30"/>
      <c r="U658" s="30"/>
      <c r="V658" s="30"/>
      <c r="W658" s="30" t="str">
        <f t="shared" si="76"/>
        <v/>
      </c>
      <c r="X658" s="31"/>
      <c r="Y658" s="30" t="str">
        <f t="shared" si="77"/>
        <v/>
      </c>
    </row>
    <row r="659" spans="2:25" x14ac:dyDescent="0.2">
      <c r="B659" s="34"/>
      <c r="C659" s="30" t="str">
        <f>IF(B659=0,"",IF('Imperial Data'!AG648&gt;=1, INDEX(Imperial_Incremental[], MATCH('Imperial Data'!AG648, Imperial_Incremental[Height], 1), MATCH('Cumulative Volumes Imperial'!$F$4, Imperial_Incremental[#Headers], 0)), 0))</f>
        <v/>
      </c>
      <c r="D659" s="30" t="str">
        <f>IF(B659=0,"",IF('Imperial Data'!AG648&gt;=1, INDEX(Imperial_Incremental[], MATCH('Imperial Data'!AG648, Imperial_Incremental[Height], 1), MATCH('Cumulative Volumes Imperial'!$F$4 &amp; "EC", Imperial_Incremental[#Headers], 0)), 0))</f>
        <v/>
      </c>
      <c r="E659" s="30"/>
      <c r="F659" s="30"/>
      <c r="G659" s="30"/>
      <c r="H659" s="30"/>
      <c r="I659" s="30"/>
      <c r="J659" s="30" t="str">
        <f>IF(B659="","",IF('Cumulative Volumes Imperial'!$AQ$17=FALSE,L659,K659))</f>
        <v/>
      </c>
      <c r="K659" s="30"/>
      <c r="L659" s="30"/>
      <c r="M659" s="30"/>
      <c r="N659" s="30"/>
      <c r="O659" s="30"/>
      <c r="P659" s="30" t="str">
        <f>IF(B659=0,"",(((1/12)*'Imperial Data'!$AC$4*'Imperial Data'!$AC$5)-C659)*$H$6)</f>
        <v/>
      </c>
      <c r="Q659" s="30"/>
      <c r="R659" s="30"/>
      <c r="S659" s="30"/>
      <c r="T659" s="30"/>
      <c r="U659" s="30"/>
      <c r="V659" s="30"/>
      <c r="W659" s="30" t="str">
        <f t="shared" si="76"/>
        <v/>
      </c>
      <c r="X659" s="31"/>
      <c r="Y659" s="30" t="str">
        <f t="shared" si="77"/>
        <v/>
      </c>
    </row>
    <row r="660" spans="2:25" x14ac:dyDescent="0.2">
      <c r="B660" s="34"/>
      <c r="C660" s="30" t="str">
        <f>IF(B660=0,"",IF('Imperial Data'!AG649&gt;=1, INDEX(Imperial_Incremental[], MATCH('Imperial Data'!AG649, Imperial_Incremental[Height], 1), MATCH('Cumulative Volumes Imperial'!$F$4, Imperial_Incremental[#Headers], 0)), 0))</f>
        <v/>
      </c>
      <c r="D660" s="30" t="str">
        <f>IF(B660=0,"",IF('Imperial Data'!AG649&gt;=1, INDEX(Imperial_Incremental[], MATCH('Imperial Data'!AG649, Imperial_Incremental[Height], 1), MATCH('Cumulative Volumes Imperial'!$F$4 &amp; "EC", Imperial_Incremental[#Headers], 0)), 0))</f>
        <v/>
      </c>
      <c r="E660" s="30"/>
      <c r="F660" s="30"/>
      <c r="G660" s="30"/>
      <c r="H660" s="30"/>
      <c r="I660" s="30"/>
      <c r="J660" s="30" t="str">
        <f>IF(B660="","",IF('Cumulative Volumes Imperial'!$AQ$17=FALSE,L660,K660))</f>
        <v/>
      </c>
      <c r="K660" s="30"/>
      <c r="L660" s="30"/>
      <c r="M660" s="30"/>
      <c r="N660" s="30"/>
      <c r="O660" s="30"/>
      <c r="P660" s="30" t="str">
        <f>IF(B660=0,"",(((1/12)*'Imperial Data'!$AC$4*'Imperial Data'!$AC$5)-C660)*$H$6)</f>
        <v/>
      </c>
      <c r="Q660" s="30"/>
      <c r="R660" s="30"/>
      <c r="S660" s="30"/>
      <c r="T660" s="30"/>
      <c r="U660" s="30"/>
      <c r="V660" s="30"/>
      <c r="W660" s="30" t="str">
        <f t="shared" si="76"/>
        <v/>
      </c>
      <c r="X660" s="31"/>
      <c r="Y660" s="30" t="str">
        <f t="shared" si="77"/>
        <v/>
      </c>
    </row>
    <row r="661" spans="2:25" x14ac:dyDescent="0.2">
      <c r="B661" s="34"/>
      <c r="C661" s="30" t="str">
        <f>IF(B661=0,"",IF('Imperial Data'!AG650&gt;=1, INDEX(Imperial_Incremental[], MATCH('Imperial Data'!AG650, Imperial_Incremental[Height], 1), MATCH('Cumulative Volumes Imperial'!$F$4, Imperial_Incremental[#Headers], 0)), 0))</f>
        <v/>
      </c>
      <c r="D661" s="30" t="str">
        <f>IF(B661=0,"",IF('Imperial Data'!AG650&gt;=1, INDEX(Imperial_Incremental[], MATCH('Imperial Data'!AG650, Imperial_Incremental[Height], 1), MATCH('Cumulative Volumes Imperial'!$F$4 &amp; "EC", Imperial_Incremental[#Headers], 0)), 0))</f>
        <v/>
      </c>
      <c r="E661" s="30"/>
      <c r="F661" s="30"/>
      <c r="G661" s="30"/>
      <c r="H661" s="30"/>
      <c r="I661" s="30"/>
      <c r="J661" s="30" t="str">
        <f>IF(B661="","",IF('Cumulative Volumes Imperial'!$AQ$17=FALSE,L661,K661))</f>
        <v/>
      </c>
      <c r="K661" s="30"/>
      <c r="L661" s="30"/>
      <c r="M661" s="30"/>
      <c r="N661" s="30"/>
      <c r="O661" s="30"/>
      <c r="P661" s="30" t="str">
        <f>IF(B661=0,"",(((1/12)*'Imperial Data'!$AC$4*'Imperial Data'!$AC$5)-C661)*$H$6)</f>
        <v/>
      </c>
      <c r="Q661" s="30"/>
      <c r="R661" s="30"/>
      <c r="S661" s="30"/>
      <c r="T661" s="30"/>
      <c r="U661" s="30"/>
      <c r="V661" s="30"/>
      <c r="W661" s="30" t="str">
        <f t="shared" si="76"/>
        <v/>
      </c>
      <c r="X661" s="31"/>
      <c r="Y661" s="30" t="str">
        <f t="shared" si="77"/>
        <v/>
      </c>
    </row>
    <row r="662" spans="2:25" x14ac:dyDescent="0.2">
      <c r="B662" s="34"/>
      <c r="C662" s="30" t="str">
        <f>IF(B662=0,"",IF('Imperial Data'!AG651&gt;=1, INDEX(Imperial_Incremental[], MATCH('Imperial Data'!AG651, Imperial_Incremental[Height], 1), MATCH('Cumulative Volumes Imperial'!$F$4, Imperial_Incremental[#Headers], 0)), 0))</f>
        <v/>
      </c>
      <c r="D662" s="30" t="str">
        <f>IF(B662=0,"",IF('Imperial Data'!AG651&gt;=1, INDEX(Imperial_Incremental[], MATCH('Imperial Data'!AG651, Imperial_Incremental[Height], 1), MATCH('Cumulative Volumes Imperial'!$F$4 &amp; "EC", Imperial_Incremental[#Headers], 0)), 0))</f>
        <v/>
      </c>
      <c r="E662" s="30"/>
      <c r="F662" s="30"/>
      <c r="G662" s="30"/>
      <c r="H662" s="30"/>
      <c r="I662" s="30"/>
      <c r="J662" s="30" t="str">
        <f>IF(B662="","",IF('Cumulative Volumes Imperial'!$AQ$17=FALSE,L662,K662))</f>
        <v/>
      </c>
      <c r="K662" s="30"/>
      <c r="L662" s="30"/>
      <c r="M662" s="30"/>
      <c r="N662" s="30"/>
      <c r="O662" s="30"/>
      <c r="P662" s="30" t="str">
        <f>IF(B662=0,"",(((1/12)*'Imperial Data'!$AC$4*'Imperial Data'!$AC$5)-C662)*$H$6)</f>
        <v/>
      </c>
      <c r="Q662" s="30"/>
      <c r="R662" s="30"/>
      <c r="S662" s="30"/>
      <c r="T662" s="30"/>
      <c r="U662" s="30"/>
      <c r="V662" s="30"/>
      <c r="W662" s="30" t="str">
        <f t="shared" si="76"/>
        <v/>
      </c>
      <c r="X662" s="31"/>
      <c r="Y662" s="30" t="str">
        <f t="shared" si="77"/>
        <v/>
      </c>
    </row>
    <row r="663" spans="2:25" x14ac:dyDescent="0.2">
      <c r="B663" s="34"/>
      <c r="C663" s="30" t="str">
        <f>IF(B663=0,"",IF('Imperial Data'!AG652&gt;=1, INDEX(Imperial_Incremental[], MATCH('Imperial Data'!AG652, Imperial_Incremental[Height], 1), MATCH('Cumulative Volumes Imperial'!$F$4, Imperial_Incremental[#Headers], 0)), 0))</f>
        <v/>
      </c>
      <c r="D663" s="30" t="str">
        <f>IF(B663=0,"",IF('Imperial Data'!AG652&gt;=1, INDEX(Imperial_Incremental[], MATCH('Imperial Data'!AG652, Imperial_Incremental[Height], 1), MATCH('Cumulative Volumes Imperial'!$F$4 &amp; "EC", Imperial_Incremental[#Headers], 0)), 0))</f>
        <v/>
      </c>
      <c r="E663" s="30"/>
      <c r="F663" s="30"/>
      <c r="G663" s="30"/>
      <c r="H663" s="30"/>
      <c r="I663" s="30"/>
      <c r="J663" s="30" t="str">
        <f>IF(B663="","",IF('Cumulative Volumes Imperial'!$AQ$17=FALSE,L663,K663))</f>
        <v/>
      </c>
      <c r="K663" s="30"/>
      <c r="L663" s="30"/>
      <c r="M663" s="30"/>
      <c r="N663" s="30"/>
      <c r="O663" s="30"/>
      <c r="P663" s="30" t="str">
        <f>IF(B663=0,"",(((1/12)*'Imperial Data'!$AC$4*'Imperial Data'!$AC$5)-C663)*$H$6)</f>
        <v/>
      </c>
      <c r="Q663" s="30"/>
      <c r="R663" s="30"/>
      <c r="S663" s="30"/>
      <c r="T663" s="30"/>
      <c r="U663" s="30"/>
      <c r="V663" s="30"/>
      <c r="W663" s="30" t="str">
        <f t="shared" si="76"/>
        <v/>
      </c>
      <c r="X663" s="31"/>
      <c r="Y663" s="30" t="str">
        <f t="shared" si="77"/>
        <v/>
      </c>
    </row>
    <row r="664" spans="2:25" x14ac:dyDescent="0.2">
      <c r="B664" s="34"/>
      <c r="C664" s="30" t="str">
        <f>IF(B664=0,"",IF('Imperial Data'!AG653&gt;=1, INDEX(Imperial_Incremental[], MATCH('Imperial Data'!AG653, Imperial_Incremental[Height], 1), MATCH('Cumulative Volumes Imperial'!$F$4, Imperial_Incremental[#Headers], 0)), 0))</f>
        <v/>
      </c>
      <c r="D664" s="30" t="str">
        <f>IF(B664=0,"",IF('Imperial Data'!AG653&gt;=1, INDEX(Imperial_Incremental[], MATCH('Imperial Data'!AG653, Imperial_Incremental[Height], 1), MATCH('Cumulative Volumes Imperial'!$F$4 &amp; "EC", Imperial_Incremental[#Headers], 0)), 0))</f>
        <v/>
      </c>
      <c r="E664" s="30"/>
      <c r="F664" s="30"/>
      <c r="G664" s="30"/>
      <c r="H664" s="30"/>
      <c r="I664" s="30"/>
      <c r="J664" s="30" t="str">
        <f>IF(B664="","",IF('Cumulative Volumes Imperial'!$AQ$17=FALSE,L664,K664))</f>
        <v/>
      </c>
      <c r="K664" s="30"/>
      <c r="L664" s="30"/>
      <c r="M664" s="30"/>
      <c r="N664" s="30"/>
      <c r="O664" s="30"/>
      <c r="P664" s="30" t="str">
        <f>IF(B664=0,"",(((1/12)*'Imperial Data'!$AC$4*'Imperial Data'!$AC$5)-C664)*$H$6)</f>
        <v/>
      </c>
      <c r="Q664" s="30"/>
      <c r="R664" s="30"/>
      <c r="S664" s="30"/>
      <c r="T664" s="30"/>
      <c r="U664" s="30"/>
      <c r="V664" s="30"/>
      <c r="W664" s="30" t="str">
        <f t="shared" si="76"/>
        <v/>
      </c>
      <c r="X664" s="31"/>
      <c r="Y664" s="30" t="str">
        <f t="shared" si="77"/>
        <v/>
      </c>
    </row>
    <row r="665" spans="2:25" x14ac:dyDescent="0.2">
      <c r="B665" s="34"/>
      <c r="C665" s="30" t="str">
        <f>IF(B665=0,"",IF('Imperial Data'!AG654&gt;=1, INDEX(Imperial_Incremental[], MATCH('Imperial Data'!AG654, Imperial_Incremental[Height], 1), MATCH('Cumulative Volumes Imperial'!$F$4, Imperial_Incremental[#Headers], 0)), 0))</f>
        <v/>
      </c>
      <c r="D665" s="30" t="str">
        <f>IF(B665=0,"",IF('Imperial Data'!AG654&gt;=1, INDEX(Imperial_Incremental[], MATCH('Imperial Data'!AG654, Imperial_Incremental[Height], 1), MATCH('Cumulative Volumes Imperial'!$F$4 &amp; "EC", Imperial_Incremental[#Headers], 0)), 0))</f>
        <v/>
      </c>
      <c r="E665" s="30"/>
      <c r="F665" s="30"/>
      <c r="G665" s="30"/>
      <c r="H665" s="30"/>
      <c r="I665" s="30"/>
      <c r="J665" s="30" t="str">
        <f>IF(B665="","",IF('Cumulative Volumes Imperial'!$AQ$17=FALSE,L665,K665))</f>
        <v/>
      </c>
      <c r="K665" s="30"/>
      <c r="L665" s="30"/>
      <c r="M665" s="30"/>
      <c r="N665" s="30"/>
      <c r="O665" s="30"/>
      <c r="P665" s="30" t="str">
        <f>IF(B665=0,"",(((1/12)*'Imperial Data'!$AC$4*'Imperial Data'!$AC$5)-C665)*$H$6)</f>
        <v/>
      </c>
      <c r="Q665" s="30"/>
      <c r="R665" s="30"/>
      <c r="S665" s="30"/>
      <c r="T665" s="30"/>
      <c r="U665" s="30"/>
      <c r="V665" s="30"/>
      <c r="W665" s="30" t="str">
        <f t="shared" si="76"/>
        <v/>
      </c>
      <c r="X665" s="31"/>
      <c r="Y665" s="30" t="str">
        <f t="shared" si="77"/>
        <v/>
      </c>
    </row>
    <row r="666" spans="2:25" x14ac:dyDescent="0.2">
      <c r="B666" s="34"/>
      <c r="C666" s="30" t="str">
        <f>IF(B666=0,"",IF('Imperial Data'!AG655&gt;=1, INDEX(Imperial_Incremental[], MATCH('Imperial Data'!AG655, Imperial_Incremental[Height], 1), MATCH('Cumulative Volumes Imperial'!$F$4, Imperial_Incremental[#Headers], 0)), 0))</f>
        <v/>
      </c>
      <c r="D666" s="30" t="str">
        <f>IF(B666=0,"",IF('Imperial Data'!AG655&gt;=1, INDEX(Imperial_Incremental[], MATCH('Imperial Data'!AG655, Imperial_Incremental[Height], 1), MATCH('Cumulative Volumes Imperial'!$F$4 &amp; "EC", Imperial_Incremental[#Headers], 0)), 0))</f>
        <v/>
      </c>
      <c r="E666" s="30"/>
      <c r="F666" s="30"/>
      <c r="G666" s="30"/>
      <c r="H666" s="30"/>
      <c r="I666" s="30"/>
      <c r="J666" s="30" t="str">
        <f>IF(B666="","",IF('Cumulative Volumes Imperial'!$AQ$17=FALSE,L666,K666))</f>
        <v/>
      </c>
      <c r="K666" s="30"/>
      <c r="L666" s="30"/>
      <c r="M666" s="30"/>
      <c r="N666" s="30"/>
      <c r="O666" s="30"/>
      <c r="P666" s="30" t="str">
        <f>IF(B666=0,"",(((1/12)*'Imperial Data'!$AC$4*'Imperial Data'!$AC$5)-C666)*$H$6)</f>
        <v/>
      </c>
      <c r="Q666" s="30"/>
      <c r="R666" s="30"/>
      <c r="S666" s="30"/>
      <c r="T666" s="30"/>
      <c r="U666" s="30"/>
      <c r="V666" s="30"/>
      <c r="W666" s="30" t="str">
        <f t="shared" si="76"/>
        <v/>
      </c>
      <c r="X666" s="31"/>
      <c r="Y666" s="30" t="str">
        <f t="shared" si="77"/>
        <v/>
      </c>
    </row>
    <row r="667" spans="2:25" x14ac:dyDescent="0.2">
      <c r="B667" s="34"/>
      <c r="C667" s="30" t="str">
        <f>IF(B667=0,"",IF('Imperial Data'!AG656&gt;=1, INDEX(Imperial_Incremental[], MATCH('Imperial Data'!AG656, Imperial_Incremental[Height], 1), MATCH('Cumulative Volumes Imperial'!$F$4, Imperial_Incremental[#Headers], 0)), 0))</f>
        <v/>
      </c>
      <c r="D667" s="30" t="str">
        <f>IF(B667=0,"",IF('Imperial Data'!AG656&gt;=1, INDEX(Imperial_Incremental[], MATCH('Imperial Data'!AG656, Imperial_Incremental[Height], 1), MATCH('Cumulative Volumes Imperial'!$F$4 &amp; "EC", Imperial_Incremental[#Headers], 0)), 0))</f>
        <v/>
      </c>
      <c r="E667" s="30"/>
      <c r="F667" s="30"/>
      <c r="G667" s="30"/>
      <c r="H667" s="30"/>
      <c r="I667" s="30"/>
      <c r="J667" s="30" t="str">
        <f>IF(B667="","",IF('Cumulative Volumes Imperial'!$AQ$17=FALSE,L667,K667))</f>
        <v/>
      </c>
      <c r="K667" s="30"/>
      <c r="L667" s="30"/>
      <c r="M667" s="30"/>
      <c r="N667" s="30"/>
      <c r="O667" s="30"/>
      <c r="P667" s="30" t="str">
        <f>IF(B667=0,"",(((1/12)*'Imperial Data'!$AC$4*'Imperial Data'!$AC$5)-C667)*$H$6)</f>
        <v/>
      </c>
      <c r="Q667" s="30"/>
      <c r="R667" s="30"/>
      <c r="S667" s="30"/>
      <c r="T667" s="30"/>
      <c r="U667" s="30"/>
      <c r="V667" s="30"/>
      <c r="W667" s="30" t="str">
        <f t="shared" si="76"/>
        <v/>
      </c>
      <c r="X667" s="31"/>
      <c r="Y667" s="30" t="str">
        <f t="shared" si="77"/>
        <v/>
      </c>
    </row>
    <row r="668" spans="2:25" x14ac:dyDescent="0.2">
      <c r="B668" s="34"/>
      <c r="C668" s="30" t="str">
        <f>IF(B668=0,"",IF('Imperial Data'!AG657&gt;=1, INDEX(Imperial_Incremental[], MATCH('Imperial Data'!AG657, Imperial_Incremental[Height], 1), MATCH('Cumulative Volumes Imperial'!$F$4, Imperial_Incremental[#Headers], 0)), 0))</f>
        <v/>
      </c>
      <c r="D668" s="30" t="str">
        <f>IF(B668=0,"",IF('Imperial Data'!AG657&gt;=1, INDEX(Imperial_Incremental[], MATCH('Imperial Data'!AG657, Imperial_Incremental[Height], 1), MATCH('Cumulative Volumes Imperial'!$F$4 &amp; "EC", Imperial_Incremental[#Headers], 0)), 0))</f>
        <v/>
      </c>
      <c r="E668" s="30"/>
      <c r="F668" s="30"/>
      <c r="G668" s="30"/>
      <c r="H668" s="30"/>
      <c r="I668" s="30"/>
      <c r="J668" s="30" t="str">
        <f>IF(B668="","",IF('Cumulative Volumes Imperial'!$AQ$17=FALSE,L668,K668))</f>
        <v/>
      </c>
      <c r="K668" s="30"/>
      <c r="L668" s="30"/>
      <c r="M668" s="30"/>
      <c r="N668" s="30"/>
      <c r="O668" s="30"/>
      <c r="P668" s="30" t="str">
        <f>IF(B668=0,"",(((1/12)*'Imperial Data'!$AC$4*'Imperial Data'!$AC$5)-C668)*$H$6)</f>
        <v/>
      </c>
      <c r="Q668" s="30"/>
      <c r="R668" s="30"/>
      <c r="S668" s="30"/>
      <c r="T668" s="30"/>
      <c r="U668" s="30"/>
      <c r="V668" s="30"/>
      <c r="W668" s="30" t="str">
        <f t="shared" si="76"/>
        <v/>
      </c>
      <c r="X668" s="31"/>
      <c r="Y668" s="30" t="str">
        <f t="shared" si="77"/>
        <v/>
      </c>
    </row>
    <row r="669" spans="2:25" x14ac:dyDescent="0.2">
      <c r="B669" s="34"/>
      <c r="C669" s="30" t="str">
        <f>IF(B669=0,"",IF('Imperial Data'!AG658&gt;=1, INDEX(Imperial_Incremental[], MATCH('Imperial Data'!AG658, Imperial_Incremental[Height], 1), MATCH('Cumulative Volumes Imperial'!$F$4, Imperial_Incremental[#Headers], 0)), 0))</f>
        <v/>
      </c>
      <c r="D669" s="30" t="str">
        <f>IF(B669=0,"",IF('Imperial Data'!AG658&gt;=1, INDEX(Imperial_Incremental[], MATCH('Imperial Data'!AG658, Imperial_Incremental[Height], 1), MATCH('Cumulative Volumes Imperial'!$F$4 &amp; "EC", Imperial_Incremental[#Headers], 0)), 0))</f>
        <v/>
      </c>
      <c r="E669" s="30"/>
      <c r="F669" s="30"/>
      <c r="G669" s="30"/>
      <c r="H669" s="30"/>
      <c r="I669" s="30"/>
      <c r="J669" s="30" t="str">
        <f>IF(B669="","",IF('Cumulative Volumes Imperial'!$AQ$17=FALSE,L669,K669))</f>
        <v/>
      </c>
      <c r="K669" s="30"/>
      <c r="L669" s="30"/>
      <c r="M669" s="30"/>
      <c r="N669" s="30"/>
      <c r="O669" s="30"/>
      <c r="P669" s="30" t="str">
        <f>IF(B669=0,"",(((1/12)*'Imperial Data'!$AC$4*'Imperial Data'!$AC$5)-C669)*$H$6)</f>
        <v/>
      </c>
      <c r="Q669" s="30"/>
      <c r="R669" s="30"/>
      <c r="S669" s="30"/>
      <c r="T669" s="30"/>
      <c r="U669" s="30"/>
      <c r="V669" s="30"/>
      <c r="W669" s="30" t="str">
        <f t="shared" si="76"/>
        <v/>
      </c>
      <c r="X669" s="31"/>
      <c r="Y669" s="30" t="str">
        <f t="shared" si="77"/>
        <v/>
      </c>
    </row>
    <row r="670" spans="2:25" x14ac:dyDescent="0.2">
      <c r="B670" s="34"/>
      <c r="C670" s="30" t="str">
        <f>IF(B670=0,"",IF('Imperial Data'!AG659&gt;=1, INDEX(Imperial_Incremental[], MATCH('Imperial Data'!AG659, Imperial_Incremental[Height], 1), MATCH('Cumulative Volumes Imperial'!$F$4, Imperial_Incremental[#Headers], 0)), 0))</f>
        <v/>
      </c>
      <c r="D670" s="30" t="str">
        <f>IF(B670=0,"",IF('Imperial Data'!AG659&gt;=1, INDEX(Imperial_Incremental[], MATCH('Imperial Data'!AG659, Imperial_Incremental[Height], 1), MATCH('Cumulative Volumes Imperial'!$F$4 &amp; "EC", Imperial_Incremental[#Headers], 0)), 0))</f>
        <v/>
      </c>
      <c r="E670" s="30"/>
      <c r="F670" s="30"/>
      <c r="G670" s="30"/>
      <c r="H670" s="30"/>
      <c r="I670" s="30"/>
      <c r="J670" s="30" t="str">
        <f>IF(B670="","",IF('Cumulative Volumes Imperial'!$AQ$17=FALSE,L670,K670))</f>
        <v/>
      </c>
      <c r="K670" s="30"/>
      <c r="L670" s="30"/>
      <c r="M670" s="30"/>
      <c r="N670" s="30"/>
      <c r="O670" s="30"/>
      <c r="P670" s="30" t="str">
        <f>IF(B670=0,"",(((1/12)*'Imperial Data'!$AC$4*'Imperial Data'!$AC$5)-C670)*$H$6)</f>
        <v/>
      </c>
      <c r="Q670" s="30"/>
      <c r="R670" s="30"/>
      <c r="S670" s="30"/>
      <c r="T670" s="30"/>
      <c r="U670" s="30"/>
      <c r="V670" s="30"/>
      <c r="W670" s="30" t="str">
        <f t="shared" si="76"/>
        <v/>
      </c>
      <c r="X670" s="31"/>
      <c r="Y670" s="30" t="str">
        <f t="shared" si="77"/>
        <v/>
      </c>
    </row>
    <row r="671" spans="2:25" x14ac:dyDescent="0.2">
      <c r="B671" s="34"/>
      <c r="C671" s="30" t="str">
        <f>IF(B671=0,"",IF('Imperial Data'!AG660&gt;=1, INDEX(Imperial_Incremental[], MATCH('Imperial Data'!AG660, Imperial_Incremental[Height], 1), MATCH('Cumulative Volumes Imperial'!$F$4, Imperial_Incremental[#Headers], 0)), 0))</f>
        <v/>
      </c>
      <c r="D671" s="30" t="str">
        <f>IF(B671=0,"",IF('Imperial Data'!AG660&gt;=1, INDEX(Imperial_Incremental[], MATCH('Imperial Data'!AG660, Imperial_Incremental[Height], 1), MATCH('Cumulative Volumes Imperial'!$F$4 &amp; "EC", Imperial_Incremental[#Headers], 0)), 0))</f>
        <v/>
      </c>
      <c r="E671" s="30"/>
      <c r="F671" s="30"/>
      <c r="G671" s="30"/>
      <c r="H671" s="30"/>
      <c r="I671" s="30"/>
      <c r="J671" s="30" t="str">
        <f>IF(B671="","",IF('Cumulative Volumes Imperial'!$AQ$17=FALSE,L671,K671))</f>
        <v/>
      </c>
      <c r="K671" s="30"/>
      <c r="L671" s="30"/>
      <c r="M671" s="30"/>
      <c r="N671" s="30"/>
      <c r="O671" s="30"/>
      <c r="P671" s="30" t="str">
        <f>IF(B671=0,"",(((1/12)*'Imperial Data'!$AC$4*'Imperial Data'!$AC$5)-C671)*$H$6)</f>
        <v/>
      </c>
      <c r="Q671" s="30"/>
      <c r="R671" s="30"/>
      <c r="S671" s="30"/>
      <c r="T671" s="30"/>
      <c r="U671" s="30"/>
      <c r="V671" s="30"/>
      <c r="W671" s="30" t="str">
        <f t="shared" si="76"/>
        <v/>
      </c>
      <c r="X671" s="31"/>
      <c r="Y671" s="30" t="str">
        <f t="shared" si="77"/>
        <v/>
      </c>
    </row>
    <row r="672" spans="2:25" x14ac:dyDescent="0.2">
      <c r="B672" s="34"/>
      <c r="C672" s="30" t="str">
        <f>IF(B672=0,"",IF('Imperial Data'!AG661&gt;=1, INDEX(Imperial_Incremental[], MATCH('Imperial Data'!AG661, Imperial_Incremental[Height], 1), MATCH('Cumulative Volumes Imperial'!$F$4, Imperial_Incremental[#Headers], 0)), 0))</f>
        <v/>
      </c>
      <c r="D672" s="30" t="str">
        <f>IF(B672=0,"",IF('Imperial Data'!AG661&gt;=1, INDEX(Imperial_Incremental[], MATCH('Imperial Data'!AG661, Imperial_Incremental[Height], 1), MATCH('Cumulative Volumes Imperial'!$F$4 &amp; "EC", Imperial_Incremental[#Headers], 0)), 0))</f>
        <v/>
      </c>
      <c r="E672" s="30"/>
      <c r="F672" s="30"/>
      <c r="G672" s="30"/>
      <c r="H672" s="30"/>
      <c r="I672" s="30"/>
      <c r="J672" s="30" t="str">
        <f>IF(B672="","",IF('Cumulative Volumes Imperial'!$AQ$17=FALSE,L672,K672))</f>
        <v/>
      </c>
      <c r="K672" s="30"/>
      <c r="L672" s="30"/>
      <c r="M672" s="30"/>
      <c r="N672" s="30"/>
      <c r="O672" s="30"/>
      <c r="P672" s="30" t="str">
        <f>IF(B672=0,"",(((1/12)*'Imperial Data'!$AC$4*'Imperial Data'!$AC$5)-C672)*$H$6)</f>
        <v/>
      </c>
      <c r="Q672" s="30"/>
      <c r="R672" s="30"/>
      <c r="S672" s="30"/>
      <c r="T672" s="30"/>
      <c r="U672" s="30"/>
      <c r="V672" s="30"/>
      <c r="W672" s="30" t="str">
        <f t="shared" si="76"/>
        <v/>
      </c>
      <c r="X672" s="31"/>
      <c r="Y672" s="30" t="str">
        <f t="shared" si="77"/>
        <v/>
      </c>
    </row>
    <row r="673" spans="2:25" x14ac:dyDescent="0.2">
      <c r="B673" s="34"/>
      <c r="C673" s="30" t="str">
        <f>IF(B673=0,"",IF('Imperial Data'!AG662&gt;=1, INDEX(Imperial_Incremental[], MATCH('Imperial Data'!AG662, Imperial_Incremental[Height], 1), MATCH('Cumulative Volumes Imperial'!$F$4, Imperial_Incremental[#Headers], 0)), 0))</f>
        <v/>
      </c>
      <c r="D673" s="30" t="str">
        <f>IF(B673=0,"",IF('Imperial Data'!AG662&gt;=1, INDEX(Imperial_Incremental[], MATCH('Imperial Data'!AG662, Imperial_Incremental[Height], 1), MATCH('Cumulative Volumes Imperial'!$F$4 &amp; "EC", Imperial_Incremental[#Headers], 0)), 0))</f>
        <v/>
      </c>
      <c r="E673" s="30"/>
      <c r="F673" s="30"/>
      <c r="G673" s="30"/>
      <c r="H673" s="30"/>
      <c r="I673" s="30"/>
      <c r="J673" s="30" t="str">
        <f>IF(B673="","",IF('Cumulative Volumes Imperial'!$AQ$17=FALSE,L673,K673))</f>
        <v/>
      </c>
      <c r="K673" s="30"/>
      <c r="L673" s="30"/>
      <c r="M673" s="30"/>
      <c r="N673" s="30"/>
      <c r="O673" s="30"/>
      <c r="P673" s="30" t="str">
        <f>IF(B673=0,"",(((1/12)*'Imperial Data'!$AC$4*'Imperial Data'!$AC$5)-C673)*$H$6)</f>
        <v/>
      </c>
      <c r="Q673" s="30"/>
      <c r="R673" s="30"/>
      <c r="S673" s="30"/>
      <c r="T673" s="30"/>
      <c r="U673" s="30"/>
      <c r="V673" s="30"/>
      <c r="W673" s="30" t="str">
        <f t="shared" si="76"/>
        <v/>
      </c>
      <c r="X673" s="31"/>
      <c r="Y673" s="30" t="str">
        <f t="shared" si="77"/>
        <v/>
      </c>
    </row>
    <row r="674" spans="2:25" x14ac:dyDescent="0.2">
      <c r="B674" s="34"/>
      <c r="C674" s="30" t="str">
        <f>IF(B674=0,"",IF('Imperial Data'!AG663&gt;=1, INDEX(Imperial_Incremental[], MATCH('Imperial Data'!AG663, Imperial_Incremental[Height], 1), MATCH('Cumulative Volumes Imperial'!$F$4, Imperial_Incremental[#Headers], 0)), 0))</f>
        <v/>
      </c>
      <c r="D674" s="30" t="str">
        <f>IF(B674=0,"",IF('Imperial Data'!AG663&gt;=1, INDEX(Imperial_Incremental[], MATCH('Imperial Data'!AG663, Imperial_Incremental[Height], 1), MATCH('Cumulative Volumes Imperial'!$F$4 &amp; "EC", Imperial_Incremental[#Headers], 0)), 0))</f>
        <v/>
      </c>
      <c r="E674" s="30"/>
      <c r="F674" s="30"/>
      <c r="G674" s="30"/>
      <c r="H674" s="30"/>
      <c r="I674" s="30"/>
      <c r="J674" s="30" t="str">
        <f>IF(B674="","",IF('Cumulative Volumes Imperial'!$AQ$17=FALSE,L674,K674))</f>
        <v/>
      </c>
      <c r="K674" s="30"/>
      <c r="L674" s="30"/>
      <c r="M674" s="30"/>
      <c r="N674" s="30"/>
      <c r="O674" s="30"/>
      <c r="P674" s="30" t="str">
        <f>IF(B674=0,"",(((1/12)*'Imperial Data'!$AC$4*'Imperial Data'!$AC$5)-C674)*$H$6)</f>
        <v/>
      </c>
      <c r="Q674" s="30"/>
      <c r="R674" s="30"/>
      <c r="S674" s="30"/>
      <c r="T674" s="30"/>
      <c r="U674" s="30"/>
      <c r="V674" s="30"/>
      <c r="W674" s="30" t="str">
        <f t="shared" si="76"/>
        <v/>
      </c>
      <c r="X674" s="31"/>
      <c r="Y674" s="30" t="str">
        <f t="shared" si="77"/>
        <v/>
      </c>
    </row>
    <row r="675" spans="2:25" x14ac:dyDescent="0.2">
      <c r="B675" s="34"/>
      <c r="C675" s="30" t="str">
        <f>IF(B675=0,"",IF('Imperial Data'!AG664&gt;=1, INDEX(Imperial_Incremental[], MATCH('Imperial Data'!AG664, Imperial_Incremental[Height], 1), MATCH('Cumulative Volumes Imperial'!$F$4, Imperial_Incremental[#Headers], 0)), 0))</f>
        <v/>
      </c>
      <c r="D675" s="30" t="str">
        <f>IF(B675=0,"",IF('Imperial Data'!AG664&gt;=1, INDEX(Imperial_Incremental[], MATCH('Imperial Data'!AG664, Imperial_Incremental[Height], 1), MATCH('Cumulative Volumes Imperial'!$F$4 &amp; "EC", Imperial_Incremental[#Headers], 0)), 0))</f>
        <v/>
      </c>
      <c r="E675" s="30"/>
      <c r="F675" s="30"/>
      <c r="G675" s="30"/>
      <c r="H675" s="30"/>
      <c r="I675" s="30"/>
      <c r="J675" s="30" t="str">
        <f>IF(B675="","",IF('Cumulative Volumes Imperial'!$AQ$17=FALSE,L675,K675))</f>
        <v/>
      </c>
      <c r="K675" s="30"/>
      <c r="L675" s="30"/>
      <c r="M675" s="30"/>
      <c r="N675" s="30"/>
      <c r="O675" s="30"/>
      <c r="P675" s="30" t="str">
        <f>IF(B675=0,"",(((1/12)*'Imperial Data'!$AC$4*'Imperial Data'!$AC$5)-C675)*$H$6)</f>
        <v/>
      </c>
      <c r="Q675" s="30"/>
      <c r="R675" s="30"/>
      <c r="S675" s="30"/>
      <c r="T675" s="30"/>
      <c r="U675" s="30"/>
      <c r="V675" s="30"/>
      <c r="W675" s="30" t="str">
        <f t="shared" si="76"/>
        <v/>
      </c>
      <c r="X675" s="31"/>
      <c r="Y675" s="30" t="str">
        <f t="shared" si="77"/>
        <v/>
      </c>
    </row>
    <row r="676" spans="2:25" x14ac:dyDescent="0.2">
      <c r="B676" s="34"/>
      <c r="C676" s="30" t="str">
        <f>IF(B676=0,"",IF('Imperial Data'!AG665&gt;=1, INDEX(Imperial_Incremental[], MATCH('Imperial Data'!AG665, Imperial_Incremental[Height], 1), MATCH('Cumulative Volumes Imperial'!$F$4, Imperial_Incremental[#Headers], 0)), 0))</f>
        <v/>
      </c>
      <c r="D676" s="30" t="str">
        <f>IF(B676=0,"",IF('Imperial Data'!AG665&gt;=1, INDEX(Imperial_Incremental[], MATCH('Imperial Data'!AG665, Imperial_Incremental[Height], 1), MATCH('Cumulative Volumes Imperial'!$F$4 &amp; "EC", Imperial_Incremental[#Headers], 0)), 0))</f>
        <v/>
      </c>
      <c r="E676" s="30"/>
      <c r="F676" s="30"/>
      <c r="G676" s="30"/>
      <c r="H676" s="30"/>
      <c r="I676" s="30"/>
      <c r="J676" s="30" t="str">
        <f>IF(B676="","",IF('Cumulative Volumes Imperial'!$AQ$17=FALSE,L676,K676))</f>
        <v/>
      </c>
      <c r="K676" s="30"/>
      <c r="L676" s="30"/>
      <c r="M676" s="30"/>
      <c r="N676" s="30"/>
      <c r="O676" s="30"/>
      <c r="P676" s="30" t="str">
        <f>IF(B676=0,"",(((1/12)*'Imperial Data'!$AC$4*'Imperial Data'!$AC$5)-C676)*$H$6)</f>
        <v/>
      </c>
      <c r="Q676" s="30"/>
      <c r="R676" s="30"/>
      <c r="S676" s="30"/>
      <c r="T676" s="30"/>
      <c r="U676" s="30"/>
      <c r="V676" s="30"/>
      <c r="W676" s="30" t="str">
        <f t="shared" si="76"/>
        <v/>
      </c>
      <c r="X676" s="31"/>
      <c r="Y676" s="30" t="str">
        <f t="shared" si="77"/>
        <v/>
      </c>
    </row>
    <row r="677" spans="2:25" x14ac:dyDescent="0.2">
      <c r="B677" s="34"/>
      <c r="C677" s="30" t="str">
        <f>IF(B677=0,"",IF('Imperial Data'!AG666&gt;=1, INDEX(Imperial_Incremental[], MATCH('Imperial Data'!AG666, Imperial_Incremental[Height], 1), MATCH('Cumulative Volumes Imperial'!$F$4, Imperial_Incremental[#Headers], 0)), 0))</f>
        <v/>
      </c>
      <c r="D677" s="30" t="str">
        <f>IF(B677=0,"",IF('Imperial Data'!AG666&gt;=1, INDEX(Imperial_Incremental[], MATCH('Imperial Data'!AG666, Imperial_Incremental[Height], 1), MATCH('Cumulative Volumes Imperial'!$F$4 &amp; "EC", Imperial_Incremental[#Headers], 0)), 0))</f>
        <v/>
      </c>
      <c r="E677" s="30"/>
      <c r="F677" s="30"/>
      <c r="G677" s="30"/>
      <c r="H677" s="30"/>
      <c r="I677" s="30"/>
      <c r="J677" s="30" t="str">
        <f>IF(B677="","",IF('Cumulative Volumes Imperial'!$AQ$17=FALSE,L677,K677))</f>
        <v/>
      </c>
      <c r="K677" s="30"/>
      <c r="L677" s="30"/>
      <c r="M677" s="30"/>
      <c r="N677" s="30"/>
      <c r="O677" s="30"/>
      <c r="P677" s="30" t="str">
        <f>IF(B677=0,"",(((1/12)*'Imperial Data'!$AC$4*'Imperial Data'!$AC$5)-C677)*$H$6)</f>
        <v/>
      </c>
      <c r="Q677" s="30"/>
      <c r="R677" s="30"/>
      <c r="S677" s="30"/>
      <c r="T677" s="30"/>
      <c r="U677" s="30"/>
      <c r="V677" s="30"/>
      <c r="W677" s="30" t="str">
        <f t="shared" si="76"/>
        <v/>
      </c>
      <c r="X677" s="31"/>
      <c r="Y677" s="30" t="str">
        <f t="shared" si="77"/>
        <v/>
      </c>
    </row>
    <row r="678" spans="2:25" x14ac:dyDescent="0.2">
      <c r="B678" s="34"/>
      <c r="C678" s="30" t="str">
        <f>IF(B678=0,"",IF('Imperial Data'!AG667&gt;=1, INDEX(Imperial_Incremental[], MATCH('Imperial Data'!AG667, Imperial_Incremental[Height], 1), MATCH('Cumulative Volumes Imperial'!$F$4, Imperial_Incremental[#Headers], 0)), 0))</f>
        <v/>
      </c>
      <c r="D678" s="30" t="str">
        <f>IF(B678=0,"",IF('Imperial Data'!AG667&gt;=1, INDEX(Imperial_Incremental[], MATCH('Imperial Data'!AG667, Imperial_Incremental[Height], 1), MATCH('Cumulative Volumes Imperial'!$F$4 &amp; "EC", Imperial_Incremental[#Headers], 0)), 0))</f>
        <v/>
      </c>
      <c r="E678" s="30"/>
      <c r="F678" s="30"/>
      <c r="G678" s="30"/>
      <c r="H678" s="30"/>
      <c r="I678" s="30"/>
      <c r="J678" s="30" t="str">
        <f>IF(B678="","",IF('Cumulative Volumes Imperial'!$AQ$17=FALSE,L678,K678))</f>
        <v/>
      </c>
      <c r="K678" s="30"/>
      <c r="L678" s="30"/>
      <c r="M678" s="30"/>
      <c r="N678" s="30"/>
      <c r="O678" s="30"/>
      <c r="P678" s="30" t="str">
        <f>IF(B678=0,"",(((1/12)*'Imperial Data'!$AC$4*'Imperial Data'!$AC$5)-C678)*$H$6)</f>
        <v/>
      </c>
      <c r="Q678" s="30"/>
      <c r="R678" s="30"/>
      <c r="S678" s="30"/>
      <c r="T678" s="30"/>
      <c r="U678" s="30"/>
      <c r="V678" s="30"/>
      <c r="W678" s="30" t="str">
        <f t="shared" si="76"/>
        <v/>
      </c>
      <c r="X678" s="31"/>
      <c r="Y678" s="30" t="str">
        <f t="shared" si="77"/>
        <v/>
      </c>
    </row>
    <row r="679" spans="2:25" x14ac:dyDescent="0.2">
      <c r="B679" s="34"/>
      <c r="C679" s="30" t="str">
        <f>IF(B679=0,"",IF('Imperial Data'!AG668&gt;=1, INDEX(Imperial_Incremental[], MATCH('Imperial Data'!AG668, Imperial_Incremental[Height], 1), MATCH('Cumulative Volumes Imperial'!$F$4, Imperial_Incremental[#Headers], 0)), 0))</f>
        <v/>
      </c>
      <c r="D679" s="30" t="str">
        <f>IF(B679=0,"",IF('Imperial Data'!AG668&gt;=1, INDEX(Imperial_Incremental[], MATCH('Imperial Data'!AG668, Imperial_Incremental[Height], 1), MATCH('Cumulative Volumes Imperial'!$F$4 &amp; "EC", Imperial_Incremental[#Headers], 0)), 0))</f>
        <v/>
      </c>
      <c r="E679" s="30"/>
      <c r="F679" s="30"/>
      <c r="G679" s="30"/>
      <c r="H679" s="30"/>
      <c r="I679" s="30"/>
      <c r="J679" s="30" t="str">
        <f>IF(B679="","",IF('Cumulative Volumes Imperial'!$AQ$17=FALSE,L679,K679))</f>
        <v/>
      </c>
      <c r="K679" s="30"/>
      <c r="L679" s="30"/>
      <c r="M679" s="30"/>
      <c r="N679" s="30"/>
      <c r="O679" s="30"/>
      <c r="P679" s="30" t="str">
        <f>IF(B679=0,"",(((1/12)*'Imperial Data'!$AC$4*'Imperial Data'!$AC$5)-C679)*$H$6)</f>
        <v/>
      </c>
      <c r="Q679" s="30"/>
      <c r="R679" s="30"/>
      <c r="S679" s="30"/>
      <c r="T679" s="30"/>
      <c r="U679" s="30"/>
      <c r="V679" s="30"/>
      <c r="W679" s="30" t="str">
        <f t="shared" si="76"/>
        <v/>
      </c>
      <c r="X679" s="31"/>
      <c r="Y679" s="30" t="str">
        <f t="shared" si="77"/>
        <v/>
      </c>
    </row>
    <row r="680" spans="2:25" x14ac:dyDescent="0.2">
      <c r="B680" s="34"/>
      <c r="C680" s="30" t="str">
        <f>IF(B680=0,"",IF('Imperial Data'!AG669&gt;=1, INDEX(Imperial_Incremental[], MATCH('Imperial Data'!AG669, Imperial_Incremental[Height], 1), MATCH('Cumulative Volumes Imperial'!$F$4, Imperial_Incremental[#Headers], 0)), 0))</f>
        <v/>
      </c>
      <c r="D680" s="30" t="str">
        <f>IF(B680=0,"",IF('Imperial Data'!AG669&gt;=1, INDEX(Imperial_Incremental[], MATCH('Imperial Data'!AG669, Imperial_Incremental[Height], 1), MATCH('Cumulative Volumes Imperial'!$F$4 &amp; "EC", Imperial_Incremental[#Headers], 0)), 0))</f>
        <v/>
      </c>
      <c r="E680" s="30"/>
      <c r="F680" s="30"/>
      <c r="G680" s="30"/>
      <c r="H680" s="30"/>
      <c r="I680" s="30"/>
      <c r="J680" s="30" t="str">
        <f>IF(B680="","",IF('Cumulative Volumes Imperial'!$AQ$17=FALSE,L680,K680))</f>
        <v/>
      </c>
      <c r="K680" s="30"/>
      <c r="L680" s="30"/>
      <c r="M680" s="30"/>
      <c r="N680" s="30"/>
      <c r="O680" s="30"/>
      <c r="P680" s="30" t="str">
        <f>IF(B680=0,"",(((1/12)*'Imperial Data'!$AC$4*'Imperial Data'!$AC$5)-C680)*$H$6)</f>
        <v/>
      </c>
      <c r="Q680" s="30"/>
      <c r="R680" s="30"/>
      <c r="S680" s="30"/>
      <c r="T680" s="30"/>
      <c r="U680" s="30"/>
      <c r="V680" s="30"/>
      <c r="W680" s="30" t="str">
        <f t="shared" si="76"/>
        <v/>
      </c>
      <c r="X680" s="31"/>
      <c r="Y680" s="30" t="str">
        <f t="shared" si="77"/>
        <v/>
      </c>
    </row>
    <row r="681" spans="2:25" x14ac:dyDescent="0.2">
      <c r="B681" s="34"/>
      <c r="C681" s="30" t="str">
        <f>IF(B681=0,"",IF('Imperial Data'!AG670&gt;=1, INDEX(Imperial_Incremental[], MATCH('Imperial Data'!AG670, Imperial_Incremental[Height], 1), MATCH('Cumulative Volumes Imperial'!$F$4, Imperial_Incremental[#Headers], 0)), 0))</f>
        <v/>
      </c>
      <c r="D681" s="30" t="str">
        <f>IF(B681=0,"",IF('Imperial Data'!AG670&gt;=1, INDEX(Imperial_Incremental[], MATCH('Imperial Data'!AG670, Imperial_Incremental[Height], 1), MATCH('Cumulative Volumes Imperial'!$F$4 &amp; "EC", Imperial_Incremental[#Headers], 0)), 0))</f>
        <v/>
      </c>
      <c r="E681" s="30"/>
      <c r="F681" s="30"/>
      <c r="G681" s="30"/>
      <c r="H681" s="30"/>
      <c r="I681" s="30"/>
      <c r="J681" s="30" t="str">
        <f>IF(B681="","",IF('Cumulative Volumes Imperial'!$AQ$17=FALSE,L681,K681))</f>
        <v/>
      </c>
      <c r="K681" s="30"/>
      <c r="L681" s="30"/>
      <c r="M681" s="30"/>
      <c r="N681" s="30"/>
      <c r="O681" s="30"/>
      <c r="P681" s="30" t="str">
        <f>IF(B681=0,"",(((1/12)*'Imperial Data'!$AC$4*'Imperial Data'!$AC$5)-C681)*$H$6)</f>
        <v/>
      </c>
      <c r="Q681" s="30"/>
      <c r="R681" s="30"/>
      <c r="S681" s="30"/>
      <c r="T681" s="30"/>
      <c r="U681" s="30"/>
      <c r="V681" s="30"/>
      <c r="W681" s="30" t="str">
        <f t="shared" si="76"/>
        <v/>
      </c>
      <c r="X681" s="31"/>
      <c r="Y681" s="30" t="str">
        <f t="shared" si="77"/>
        <v/>
      </c>
    </row>
    <row r="682" spans="2:25" x14ac:dyDescent="0.2">
      <c r="B682" s="34"/>
      <c r="C682" s="30" t="str">
        <f>IF(B682=0,"",IF('Imperial Data'!AG671&gt;=1, INDEX(Imperial_Incremental[], MATCH('Imperial Data'!AG671, Imperial_Incremental[Height], 1), MATCH('Cumulative Volumes Imperial'!$F$4, Imperial_Incremental[#Headers], 0)), 0))</f>
        <v/>
      </c>
      <c r="D682" s="30" t="str">
        <f>IF(B682=0,"",IF('Imperial Data'!AG671&gt;=1, INDEX(Imperial_Incremental[], MATCH('Imperial Data'!AG671, Imperial_Incremental[Height], 1), MATCH('Cumulative Volumes Imperial'!$F$4 &amp; "EC", Imperial_Incremental[#Headers], 0)), 0))</f>
        <v/>
      </c>
      <c r="E682" s="30"/>
      <c r="F682" s="30"/>
      <c r="G682" s="30"/>
      <c r="H682" s="30"/>
      <c r="I682" s="30"/>
      <c r="J682" s="30" t="str">
        <f>IF(B682="","",IF('Cumulative Volumes Imperial'!$AQ$17=FALSE,L682,K682))</f>
        <v/>
      </c>
      <c r="K682" s="30"/>
      <c r="L682" s="30"/>
      <c r="M682" s="30"/>
      <c r="N682" s="30"/>
      <c r="O682" s="30"/>
      <c r="P682" s="30" t="str">
        <f>IF(B682=0,"",(((1/12)*'Imperial Data'!$AC$4*'Imperial Data'!$AC$5)-C682)*$H$6)</f>
        <v/>
      </c>
      <c r="Q682" s="30"/>
      <c r="R682" s="30"/>
      <c r="S682" s="30"/>
      <c r="T682" s="30"/>
      <c r="U682" s="30"/>
      <c r="V682" s="30"/>
      <c r="W682" s="30" t="str">
        <f t="shared" si="76"/>
        <v/>
      </c>
      <c r="X682" s="31"/>
      <c r="Y682" s="30" t="str">
        <f t="shared" si="77"/>
        <v/>
      </c>
    </row>
    <row r="683" spans="2:25" x14ac:dyDescent="0.2">
      <c r="B683" s="34"/>
      <c r="C683" s="30" t="str">
        <f>IF(B683=0,"",IF('Imperial Data'!AG672&gt;=1, INDEX(Imperial_Incremental[], MATCH('Imperial Data'!AG672, Imperial_Incremental[Height], 1), MATCH('Cumulative Volumes Imperial'!$F$4, Imperial_Incremental[#Headers], 0)), 0))</f>
        <v/>
      </c>
      <c r="D683" s="30" t="str">
        <f>IF(B683=0,"",IF('Imperial Data'!AG672&gt;=1, INDEX(Imperial_Incremental[], MATCH('Imperial Data'!AG672, Imperial_Incremental[Height], 1), MATCH('Cumulative Volumes Imperial'!$F$4 &amp; "EC", Imperial_Incremental[#Headers], 0)), 0))</f>
        <v/>
      </c>
      <c r="E683" s="30"/>
      <c r="F683" s="30"/>
      <c r="G683" s="30"/>
      <c r="H683" s="30"/>
      <c r="I683" s="30"/>
      <c r="J683" s="30" t="str">
        <f>IF(B683="","",IF('Cumulative Volumes Imperial'!$AQ$17=FALSE,L683,K683))</f>
        <v/>
      </c>
      <c r="K683" s="30"/>
      <c r="L683" s="30"/>
      <c r="M683" s="30"/>
      <c r="N683" s="30"/>
      <c r="O683" s="30"/>
      <c r="P683" s="30" t="str">
        <f>IF(B683=0,"",(((1/12)*'Imperial Data'!$AC$4*'Imperial Data'!$AC$5)-C683)*$H$6)</f>
        <v/>
      </c>
      <c r="Q683" s="30"/>
      <c r="R683" s="30"/>
      <c r="S683" s="30"/>
      <c r="T683" s="30"/>
      <c r="U683" s="30"/>
      <c r="V683" s="30"/>
      <c r="W683" s="30" t="str">
        <f t="shared" si="76"/>
        <v/>
      </c>
      <c r="X683" s="31"/>
      <c r="Y683" s="30" t="str">
        <f t="shared" si="77"/>
        <v/>
      </c>
    </row>
    <row r="684" spans="2:25" x14ac:dyDescent="0.2">
      <c r="B684" s="34"/>
      <c r="C684" s="30" t="str">
        <f>IF(B684=0,"",IF('Imperial Data'!AG673&gt;=1, INDEX(Imperial_Incremental[], MATCH('Imperial Data'!AG673, Imperial_Incremental[Height], 1), MATCH('Cumulative Volumes Imperial'!$F$4, Imperial_Incremental[#Headers], 0)), 0))</f>
        <v/>
      </c>
      <c r="D684" s="30" t="str">
        <f>IF(B684=0,"",IF('Imperial Data'!AG673&gt;=1, INDEX(Imperial_Incremental[], MATCH('Imperial Data'!AG673, Imperial_Incremental[Height], 1), MATCH('Cumulative Volumes Imperial'!$F$4 &amp; "EC", Imperial_Incremental[#Headers], 0)), 0))</f>
        <v/>
      </c>
      <c r="E684" s="30"/>
      <c r="F684" s="30"/>
      <c r="G684" s="30"/>
      <c r="H684" s="30"/>
      <c r="I684" s="30"/>
      <c r="J684" s="30" t="str">
        <f>IF(B684="","",IF('Cumulative Volumes Imperial'!$AQ$17=FALSE,L684,K684))</f>
        <v/>
      </c>
      <c r="K684" s="30"/>
      <c r="L684" s="30"/>
      <c r="M684" s="30"/>
      <c r="N684" s="30"/>
      <c r="O684" s="30"/>
      <c r="P684" s="30" t="str">
        <f>IF(B684=0,"",(((1/12)*'Imperial Data'!$AC$4*'Imperial Data'!$AC$5)-C684)*$H$6)</f>
        <v/>
      </c>
      <c r="Q684" s="30"/>
      <c r="R684" s="30"/>
      <c r="S684" s="30"/>
      <c r="T684" s="30"/>
      <c r="U684" s="30"/>
      <c r="V684" s="30"/>
      <c r="W684" s="30" t="str">
        <f t="shared" si="76"/>
        <v/>
      </c>
      <c r="X684" s="31"/>
      <c r="Y684" s="30" t="str">
        <f t="shared" si="77"/>
        <v/>
      </c>
    </row>
    <row r="685" spans="2:25" x14ac:dyDescent="0.2">
      <c r="B685" s="34"/>
      <c r="C685" s="30" t="str">
        <f>IF(B685=0,"",IF('Imperial Data'!AG674&gt;=1, INDEX(Imperial_Incremental[], MATCH('Imperial Data'!AG674, Imperial_Incremental[Height], 1), MATCH('Cumulative Volumes Imperial'!$F$4, Imperial_Incremental[#Headers], 0)), 0))</f>
        <v/>
      </c>
      <c r="D685" s="30" t="str">
        <f>IF(B685=0,"",IF('Imperial Data'!AG674&gt;=1, INDEX(Imperial_Incremental[], MATCH('Imperial Data'!AG674, Imperial_Incremental[Height], 1), MATCH('Cumulative Volumes Imperial'!$F$4 &amp; "EC", Imperial_Incremental[#Headers], 0)), 0))</f>
        <v/>
      </c>
      <c r="E685" s="30"/>
      <c r="F685" s="30"/>
      <c r="G685" s="30"/>
      <c r="H685" s="30"/>
      <c r="I685" s="30"/>
      <c r="J685" s="30" t="str">
        <f>IF(B685="","",IF('Cumulative Volumes Imperial'!$AQ$17=FALSE,L685,K685))</f>
        <v/>
      </c>
      <c r="K685" s="30"/>
      <c r="L685" s="30"/>
      <c r="M685" s="30"/>
      <c r="N685" s="30"/>
      <c r="O685" s="30"/>
      <c r="P685" s="30" t="str">
        <f>IF(B685=0,"",(((1/12)*'Imperial Data'!$AC$4*'Imperial Data'!$AC$5)-C685)*$H$6)</f>
        <v/>
      </c>
      <c r="Q685" s="30"/>
      <c r="R685" s="30"/>
      <c r="S685" s="30"/>
      <c r="T685" s="30"/>
      <c r="U685" s="30"/>
      <c r="V685" s="30"/>
      <c r="W685" s="30" t="str">
        <f t="shared" si="76"/>
        <v/>
      </c>
      <c r="X685" s="31"/>
      <c r="Y685" s="30" t="str">
        <f t="shared" si="77"/>
        <v/>
      </c>
    </row>
    <row r="686" spans="2:25" x14ac:dyDescent="0.2">
      <c r="B686" s="34"/>
      <c r="C686" s="30" t="str">
        <f>IF(B686=0,"",IF('Imperial Data'!AG675&gt;=1, INDEX(Imperial_Incremental[], MATCH('Imperial Data'!AG675, Imperial_Incremental[Height], 1), MATCH('Cumulative Volumes Imperial'!$F$4, Imperial_Incremental[#Headers], 0)), 0))</f>
        <v/>
      </c>
      <c r="D686" s="30" t="str">
        <f>IF(B686=0,"",IF('Imperial Data'!AG675&gt;=1, INDEX(Imperial_Incremental[], MATCH('Imperial Data'!AG675, Imperial_Incremental[Height], 1), MATCH('Cumulative Volumes Imperial'!$F$4 &amp; "EC", Imperial_Incremental[#Headers], 0)), 0))</f>
        <v/>
      </c>
      <c r="E686" s="30"/>
      <c r="F686" s="30"/>
      <c r="G686" s="30"/>
      <c r="H686" s="30"/>
      <c r="I686" s="30"/>
      <c r="J686" s="30" t="str">
        <f>IF(B686="","",IF('Cumulative Volumes Imperial'!$AQ$17=FALSE,L686,K686))</f>
        <v/>
      </c>
      <c r="K686" s="30"/>
      <c r="L686" s="30"/>
      <c r="M686" s="30"/>
      <c r="N686" s="30"/>
      <c r="O686" s="30"/>
      <c r="P686" s="30" t="str">
        <f>IF(B686=0,"",(((1/12)*'Imperial Data'!$AC$4*'Imperial Data'!$AC$5)-C686)*$H$6)</f>
        <v/>
      </c>
      <c r="Q686" s="30"/>
      <c r="R686" s="30"/>
      <c r="S686" s="30"/>
      <c r="T686" s="30"/>
      <c r="U686" s="30"/>
      <c r="V686" s="30"/>
      <c r="W686" s="30" t="str">
        <f t="shared" si="76"/>
        <v/>
      </c>
      <c r="X686" s="31"/>
      <c r="Y686" s="30" t="str">
        <f t="shared" si="77"/>
        <v/>
      </c>
    </row>
    <row r="687" spans="2:25" x14ac:dyDescent="0.2">
      <c r="B687" s="34"/>
      <c r="C687" s="30" t="str">
        <f>IF(B687=0,"",IF('Imperial Data'!AG676&gt;=1, INDEX(Imperial_Incremental[], MATCH('Imperial Data'!AG676, Imperial_Incremental[Height], 1), MATCH('Cumulative Volumes Imperial'!$F$4, Imperial_Incremental[#Headers], 0)), 0))</f>
        <v/>
      </c>
      <c r="D687" s="30" t="str">
        <f>IF(B687=0,"",IF('Imperial Data'!AG676&gt;=1, INDEX(Imperial_Incremental[], MATCH('Imperial Data'!AG676, Imperial_Incremental[Height], 1), MATCH('Cumulative Volumes Imperial'!$F$4 &amp; "EC", Imperial_Incremental[#Headers], 0)), 0))</f>
        <v/>
      </c>
      <c r="E687" s="30"/>
      <c r="F687" s="30"/>
      <c r="G687" s="30"/>
      <c r="H687" s="30"/>
      <c r="I687" s="30"/>
      <c r="J687" s="30" t="str">
        <f>IF(B687="","",IF('Cumulative Volumes Imperial'!$AQ$17=FALSE,L687,K687))</f>
        <v/>
      </c>
      <c r="K687" s="30"/>
      <c r="L687" s="30"/>
      <c r="M687" s="30"/>
      <c r="N687" s="30"/>
      <c r="O687" s="30"/>
      <c r="P687" s="30" t="str">
        <f>IF(B687=0,"",(((1/12)*'Imperial Data'!$AC$4*'Imperial Data'!$AC$5)-C687)*$H$6)</f>
        <v/>
      </c>
      <c r="Q687" s="30"/>
      <c r="R687" s="30"/>
      <c r="S687" s="30"/>
      <c r="T687" s="30"/>
      <c r="U687" s="30"/>
      <c r="V687" s="30"/>
      <c r="W687" s="30" t="str">
        <f t="shared" si="76"/>
        <v/>
      </c>
      <c r="X687" s="31"/>
      <c r="Y687" s="30" t="str">
        <f t="shared" si="77"/>
        <v/>
      </c>
    </row>
    <row r="688" spans="2:25" x14ac:dyDescent="0.2">
      <c r="B688" s="34"/>
      <c r="C688" s="30" t="str">
        <f>IF(B688=0,"",IF('Imperial Data'!AG677&gt;=1, INDEX(Imperial_Incremental[], MATCH('Imperial Data'!AG677, Imperial_Incremental[Height], 1), MATCH('Cumulative Volumes Imperial'!$F$4, Imperial_Incremental[#Headers], 0)), 0))</f>
        <v/>
      </c>
      <c r="D688" s="30" t="str">
        <f>IF(B688=0,"",IF('Imperial Data'!AG677&gt;=1, INDEX(Imperial_Incremental[], MATCH('Imperial Data'!AG677, Imperial_Incremental[Height], 1), MATCH('Cumulative Volumes Imperial'!$F$4 &amp; "EC", Imperial_Incremental[#Headers], 0)), 0))</f>
        <v/>
      </c>
      <c r="E688" s="30"/>
      <c r="F688" s="30"/>
      <c r="G688" s="30"/>
      <c r="H688" s="30"/>
      <c r="I688" s="30"/>
      <c r="J688" s="30" t="str">
        <f>IF(B688="","",IF('Cumulative Volumes Imperial'!$AQ$17=FALSE,L688,K688))</f>
        <v/>
      </c>
      <c r="K688" s="30"/>
      <c r="L688" s="30"/>
      <c r="M688" s="30"/>
      <c r="N688" s="30"/>
      <c r="O688" s="30"/>
      <c r="P688" s="30" t="str">
        <f>IF(B688=0,"",(((1/12)*'Imperial Data'!$AC$4*'Imperial Data'!$AC$5)-C688)*$H$6)</f>
        <v/>
      </c>
      <c r="Q688" s="30"/>
      <c r="R688" s="30"/>
      <c r="S688" s="30"/>
      <c r="T688" s="30"/>
      <c r="U688" s="30"/>
      <c r="V688" s="30"/>
      <c r="W688" s="30" t="str">
        <f t="shared" si="76"/>
        <v/>
      </c>
      <c r="X688" s="31"/>
      <c r="Y688" s="30" t="str">
        <f t="shared" si="77"/>
        <v/>
      </c>
    </row>
    <row r="689" spans="2:25" x14ac:dyDescent="0.2">
      <c r="B689" s="34"/>
      <c r="C689" s="30" t="str">
        <f>IF(B689=0,"",IF('Imperial Data'!AG678&gt;=1, INDEX(Imperial_Incremental[], MATCH('Imperial Data'!AG678, Imperial_Incremental[Height], 1), MATCH('Cumulative Volumes Imperial'!$F$4, Imperial_Incremental[#Headers], 0)), 0))</f>
        <v/>
      </c>
      <c r="D689" s="30" t="str">
        <f>IF(B689=0,"",IF('Imperial Data'!AG678&gt;=1, INDEX(Imperial_Incremental[], MATCH('Imperial Data'!AG678, Imperial_Incremental[Height], 1), MATCH('Cumulative Volumes Imperial'!$F$4 &amp; "EC", Imperial_Incremental[#Headers], 0)), 0))</f>
        <v/>
      </c>
      <c r="E689" s="30"/>
      <c r="F689" s="30"/>
      <c r="G689" s="30"/>
      <c r="H689" s="30"/>
      <c r="I689" s="30"/>
      <c r="J689" s="30" t="str">
        <f>IF(B689="","",IF('Cumulative Volumes Imperial'!$AQ$17=FALSE,L689,K689))</f>
        <v/>
      </c>
      <c r="K689" s="30"/>
      <c r="L689" s="30"/>
      <c r="M689" s="30"/>
      <c r="N689" s="30"/>
      <c r="O689" s="30"/>
      <c r="P689" s="30" t="str">
        <f>IF(B689=0,"",(((1/12)*'Imperial Data'!$AC$4*'Imperial Data'!$AC$5)-C689)*$H$6)</f>
        <v/>
      </c>
      <c r="Q689" s="30"/>
      <c r="R689" s="30"/>
      <c r="S689" s="30"/>
      <c r="T689" s="30"/>
      <c r="U689" s="30"/>
      <c r="V689" s="30"/>
      <c r="W689" s="30" t="str">
        <f t="shared" si="76"/>
        <v/>
      </c>
      <c r="X689" s="31"/>
      <c r="Y689" s="30" t="str">
        <f t="shared" si="77"/>
        <v/>
      </c>
    </row>
    <row r="690" spans="2:25" x14ac:dyDescent="0.2">
      <c r="B690" s="34"/>
      <c r="C690" s="30" t="str">
        <f>IF(B690=0,"",IF('Imperial Data'!AG679&gt;=1, INDEX(Imperial_Incremental[], MATCH('Imperial Data'!AG679, Imperial_Incremental[Height], 1), MATCH('Cumulative Volumes Imperial'!$F$4, Imperial_Incremental[#Headers], 0)), 0))</f>
        <v/>
      </c>
      <c r="D690" s="30" t="str">
        <f>IF(B690=0,"",IF('Imperial Data'!AG679&gt;=1, INDEX(Imperial_Incremental[], MATCH('Imperial Data'!AG679, Imperial_Incremental[Height], 1), MATCH('Cumulative Volumes Imperial'!$F$4 &amp; "EC", Imperial_Incremental[#Headers], 0)), 0))</f>
        <v/>
      </c>
      <c r="E690" s="30"/>
      <c r="F690" s="30"/>
      <c r="G690" s="30"/>
      <c r="H690" s="30"/>
      <c r="I690" s="30"/>
      <c r="J690" s="30" t="str">
        <f>IF(B690="","",IF('Cumulative Volumes Imperial'!$AQ$17=FALSE,L690,K690))</f>
        <v/>
      </c>
      <c r="K690" s="30"/>
      <c r="L690" s="30"/>
      <c r="M690" s="30"/>
      <c r="N690" s="30"/>
      <c r="O690" s="30"/>
      <c r="P690" s="30" t="str">
        <f>IF(B690=0,"",(((1/12)*'Imperial Data'!$AC$4*'Imperial Data'!$AC$5)-C690)*$H$6)</f>
        <v/>
      </c>
      <c r="Q690" s="30"/>
      <c r="R690" s="30"/>
      <c r="S690" s="30"/>
      <c r="T690" s="30"/>
      <c r="U690" s="30"/>
      <c r="V690" s="30"/>
      <c r="W690" s="30" t="str">
        <f t="shared" si="76"/>
        <v/>
      </c>
      <c r="X690" s="31"/>
      <c r="Y690" s="30" t="str">
        <f t="shared" si="77"/>
        <v/>
      </c>
    </row>
    <row r="691" spans="2:25" x14ac:dyDescent="0.2">
      <c r="B691" s="34"/>
      <c r="C691" s="30" t="str">
        <f>IF(B691=0,"",IF('Imperial Data'!AG680&gt;=1, INDEX(Imperial_Incremental[], MATCH('Imperial Data'!AG680, Imperial_Incremental[Height], 1), MATCH('Cumulative Volumes Imperial'!$F$4, Imperial_Incremental[#Headers], 0)), 0))</f>
        <v/>
      </c>
      <c r="D691" s="30" t="str">
        <f>IF(B691=0,"",IF('Imperial Data'!AG680&gt;=1, INDEX(Imperial_Incremental[], MATCH('Imperial Data'!AG680, Imperial_Incremental[Height], 1), MATCH('Cumulative Volumes Imperial'!$F$4 &amp; "EC", Imperial_Incremental[#Headers], 0)), 0))</f>
        <v/>
      </c>
      <c r="E691" s="30"/>
      <c r="F691" s="30"/>
      <c r="G691" s="30"/>
      <c r="H691" s="30"/>
      <c r="I691" s="30"/>
      <c r="J691" s="30" t="str">
        <f>IF(B691="","",IF('Cumulative Volumes Imperial'!$AQ$17=FALSE,L691,K691))</f>
        <v/>
      </c>
      <c r="K691" s="30"/>
      <c r="L691" s="30"/>
      <c r="M691" s="30"/>
      <c r="N691" s="30"/>
      <c r="O691" s="30"/>
      <c r="P691" s="30" t="str">
        <f>IF(B691=0,"",(((1/12)*'Imperial Data'!$AC$4*'Imperial Data'!$AC$5)-C691)*$H$6)</f>
        <v/>
      </c>
      <c r="Q691" s="30"/>
      <c r="R691" s="30"/>
      <c r="S691" s="30"/>
      <c r="T691" s="30"/>
      <c r="U691" s="30"/>
      <c r="V691" s="30"/>
      <c r="W691" s="30" t="str">
        <f t="shared" si="76"/>
        <v/>
      </c>
      <c r="X691" s="31"/>
      <c r="Y691" s="30" t="str">
        <f t="shared" si="77"/>
        <v/>
      </c>
    </row>
    <row r="692" spans="2:25" x14ac:dyDescent="0.2">
      <c r="B692" s="34"/>
      <c r="C692" s="30" t="str">
        <f>IF(B692=0,"",IF('Imperial Data'!AG681&gt;=1, INDEX(Imperial_Incremental[], MATCH('Imperial Data'!AG681, Imperial_Incremental[Height], 1), MATCH('Cumulative Volumes Imperial'!$F$4, Imperial_Incremental[#Headers], 0)), 0))</f>
        <v/>
      </c>
      <c r="D692" s="30" t="str">
        <f>IF(B692=0,"",IF('Imperial Data'!AG681&gt;=1, INDEX(Imperial_Incremental[], MATCH('Imperial Data'!AG681, Imperial_Incremental[Height], 1), MATCH('Cumulative Volumes Imperial'!$F$4 &amp; "EC", Imperial_Incremental[#Headers], 0)), 0))</f>
        <v/>
      </c>
      <c r="E692" s="30"/>
      <c r="F692" s="30"/>
      <c r="G692" s="30"/>
      <c r="H692" s="30"/>
      <c r="I692" s="30"/>
      <c r="J692" s="30" t="str">
        <f>IF(B692="","",IF('Cumulative Volumes Imperial'!$AQ$17=FALSE,L692,K692))</f>
        <v/>
      </c>
      <c r="K692" s="30"/>
      <c r="L692" s="30"/>
      <c r="M692" s="30"/>
      <c r="N692" s="30"/>
      <c r="O692" s="30"/>
      <c r="P692" s="30" t="str">
        <f>IF(B692=0,"",(((1/12)*'Imperial Data'!$AC$4*'Imperial Data'!$AC$5)-C692)*$H$6)</f>
        <v/>
      </c>
      <c r="Q692" s="30"/>
      <c r="R692" s="30"/>
      <c r="S692" s="30"/>
      <c r="T692" s="30"/>
      <c r="U692" s="30"/>
      <c r="V692" s="30"/>
      <c r="W692" s="30" t="str">
        <f t="shared" si="76"/>
        <v/>
      </c>
      <c r="X692" s="31"/>
      <c r="Y692" s="30" t="str">
        <f t="shared" si="77"/>
        <v/>
      </c>
    </row>
    <row r="693" spans="2:25" x14ac:dyDescent="0.2">
      <c r="B693" s="34"/>
      <c r="C693" s="30" t="str">
        <f>IF(B693=0,"",IF('Imperial Data'!AG682&gt;=1, INDEX(Imperial_Incremental[], MATCH('Imperial Data'!AG682, Imperial_Incremental[Height], 1), MATCH('Cumulative Volumes Imperial'!$F$4, Imperial_Incremental[#Headers], 0)), 0))</f>
        <v/>
      </c>
      <c r="D693" s="30" t="str">
        <f>IF(B693=0,"",IF('Imperial Data'!AG682&gt;=1, INDEX(Imperial_Incremental[], MATCH('Imperial Data'!AG682, Imperial_Incremental[Height], 1), MATCH('Cumulative Volumes Imperial'!$F$4 &amp; "EC", Imperial_Incremental[#Headers], 0)), 0))</f>
        <v/>
      </c>
      <c r="E693" s="30"/>
      <c r="F693" s="30"/>
      <c r="G693" s="30"/>
      <c r="H693" s="30"/>
      <c r="I693" s="30"/>
      <c r="J693" s="30" t="str">
        <f>IF(B693="","",IF('Cumulative Volumes Imperial'!$AQ$17=FALSE,L693,K693))</f>
        <v/>
      </c>
      <c r="K693" s="30"/>
      <c r="L693" s="30"/>
      <c r="M693" s="30"/>
      <c r="N693" s="30"/>
      <c r="O693" s="30"/>
      <c r="P693" s="30" t="str">
        <f>IF(B693=0,"",(((1/12)*'Imperial Data'!$AC$4*'Imperial Data'!$AC$5)-C693)*$H$6)</f>
        <v/>
      </c>
      <c r="Q693" s="30"/>
      <c r="R693" s="30"/>
      <c r="S693" s="30"/>
      <c r="T693" s="30"/>
      <c r="U693" s="30"/>
      <c r="V693" s="30"/>
      <c r="W693" s="30" t="str">
        <f t="shared" si="76"/>
        <v/>
      </c>
      <c r="X693" s="31"/>
      <c r="Y693" s="30" t="str">
        <f t="shared" si="77"/>
        <v/>
      </c>
    </row>
    <row r="694" spans="2:25" x14ac:dyDescent="0.2">
      <c r="B694" s="34"/>
      <c r="C694" s="30" t="str">
        <f>IF(B694=0,"",IF('Imperial Data'!AG683&gt;=1, INDEX(Imperial_Incremental[], MATCH('Imperial Data'!AG683, Imperial_Incremental[Height], 1), MATCH('Cumulative Volumes Imperial'!$F$4, Imperial_Incremental[#Headers], 0)), 0))</f>
        <v/>
      </c>
      <c r="D694" s="30" t="str">
        <f>IF(B694=0,"",IF('Imperial Data'!AG683&gt;=1, INDEX(Imperial_Incremental[], MATCH('Imperial Data'!AG683, Imperial_Incremental[Height], 1), MATCH('Cumulative Volumes Imperial'!$F$4 &amp; "EC", Imperial_Incremental[#Headers], 0)), 0))</f>
        <v/>
      </c>
      <c r="E694" s="30"/>
      <c r="F694" s="30"/>
      <c r="G694" s="30"/>
      <c r="H694" s="30"/>
      <c r="I694" s="30"/>
      <c r="J694" s="30" t="str">
        <f>IF(B694="","",IF('Cumulative Volumes Imperial'!$AQ$17=FALSE,L694,K694))</f>
        <v/>
      </c>
      <c r="K694" s="30"/>
      <c r="L694" s="30"/>
      <c r="M694" s="30"/>
      <c r="N694" s="30"/>
      <c r="O694" s="30"/>
      <c r="P694" s="30" t="str">
        <f>IF(B694=0,"",(((1/12)*'Imperial Data'!$AC$4*'Imperial Data'!$AC$5)-C694)*$H$6)</f>
        <v/>
      </c>
      <c r="Q694" s="30"/>
      <c r="R694" s="30"/>
      <c r="S694" s="30"/>
      <c r="T694" s="30"/>
      <c r="U694" s="30"/>
      <c r="V694" s="30"/>
      <c r="W694" s="30" t="str">
        <f t="shared" si="76"/>
        <v/>
      </c>
      <c r="X694" s="31"/>
      <c r="Y694" s="30" t="str">
        <f t="shared" si="77"/>
        <v/>
      </c>
    </row>
    <row r="695" spans="2:25" x14ac:dyDescent="0.2">
      <c r="B695" s="34"/>
      <c r="C695" s="30" t="str">
        <f>IF(B695=0,"",IF('Imperial Data'!AG684&gt;=1, INDEX(Imperial_Incremental[], MATCH('Imperial Data'!AG684, Imperial_Incremental[Height], 1), MATCH('Cumulative Volumes Imperial'!$F$4, Imperial_Incremental[#Headers], 0)), 0))</f>
        <v/>
      </c>
      <c r="D695" s="30" t="str">
        <f>IF(B695=0,"",IF('Imperial Data'!AG684&gt;=1, INDEX(Imperial_Incremental[], MATCH('Imperial Data'!AG684, Imperial_Incremental[Height], 1), MATCH('Cumulative Volumes Imperial'!$F$4 &amp; "EC", Imperial_Incremental[#Headers], 0)), 0))</f>
        <v/>
      </c>
      <c r="E695" s="30"/>
      <c r="F695" s="30"/>
      <c r="G695" s="30"/>
      <c r="H695" s="30"/>
      <c r="I695" s="30"/>
      <c r="J695" s="30" t="str">
        <f>IF(B695="","",IF('Cumulative Volumes Imperial'!$AQ$17=FALSE,L695,K695))</f>
        <v/>
      </c>
      <c r="K695" s="30"/>
      <c r="L695" s="30"/>
      <c r="M695" s="30"/>
      <c r="N695" s="30"/>
      <c r="O695" s="30"/>
      <c r="P695" s="30" t="str">
        <f>IF(B695=0,"",(((1/12)*'Imperial Data'!$AC$4*'Imperial Data'!$AC$5)-C695)*$H$6)</f>
        <v/>
      </c>
      <c r="Q695" s="30"/>
      <c r="R695" s="30"/>
      <c r="S695" s="30"/>
      <c r="T695" s="30"/>
      <c r="U695" s="30"/>
      <c r="V695" s="30"/>
      <c r="W695" s="30" t="str">
        <f t="shared" si="76"/>
        <v/>
      </c>
      <c r="X695" s="31"/>
      <c r="Y695" s="30" t="str">
        <f t="shared" si="77"/>
        <v/>
      </c>
    </row>
    <row r="696" spans="2:25" x14ac:dyDescent="0.2">
      <c r="B696" s="34"/>
      <c r="C696" s="30" t="str">
        <f>IF(B696=0,"",IF('Imperial Data'!AG685&gt;=1, INDEX(Imperial_Incremental[], MATCH('Imperial Data'!AG685, Imperial_Incremental[Height], 1), MATCH('Cumulative Volumes Imperial'!$F$4, Imperial_Incremental[#Headers], 0)), 0))</f>
        <v/>
      </c>
      <c r="D696" s="30" t="str">
        <f>IF(B696=0,"",IF('Imperial Data'!AG685&gt;=1, INDEX(Imperial_Incremental[], MATCH('Imperial Data'!AG685, Imperial_Incremental[Height], 1), MATCH('Cumulative Volumes Imperial'!$F$4 &amp; "EC", Imperial_Incremental[#Headers], 0)), 0))</f>
        <v/>
      </c>
      <c r="E696" s="30"/>
      <c r="F696" s="30"/>
      <c r="G696" s="30"/>
      <c r="H696" s="30"/>
      <c r="I696" s="30"/>
      <c r="J696" s="30" t="str">
        <f>IF(B696="","",IF('Cumulative Volumes Imperial'!$AQ$17=FALSE,L696,K696))</f>
        <v/>
      </c>
      <c r="K696" s="30"/>
      <c r="L696" s="30"/>
      <c r="M696" s="30"/>
      <c r="N696" s="30"/>
      <c r="O696" s="30"/>
      <c r="P696" s="30" t="str">
        <f>IF(B696=0,"",(((1/12)*'Imperial Data'!$AC$4*'Imperial Data'!$AC$5)-C696)*$H$6)</f>
        <v/>
      </c>
      <c r="Q696" s="30"/>
      <c r="R696" s="30"/>
      <c r="S696" s="30"/>
      <c r="T696" s="30"/>
      <c r="U696" s="30"/>
      <c r="V696" s="30"/>
      <c r="W696" s="30" t="str">
        <f t="shared" si="76"/>
        <v/>
      </c>
      <c r="X696" s="31"/>
      <c r="Y696" s="30" t="str">
        <f t="shared" si="77"/>
        <v/>
      </c>
    </row>
    <row r="697" spans="2:25" x14ac:dyDescent="0.2">
      <c r="B697" s="34"/>
      <c r="C697" s="30" t="str">
        <f>IF(B697=0,"",IF('Imperial Data'!AG686&gt;=1, INDEX(Imperial_Incremental[], MATCH('Imperial Data'!AG686, Imperial_Incremental[Height], 1), MATCH('Cumulative Volumes Imperial'!$F$4, Imperial_Incremental[#Headers], 0)), 0))</f>
        <v/>
      </c>
      <c r="D697" s="30" t="str">
        <f>IF(B697=0,"",IF('Imperial Data'!AG686&gt;=1, INDEX(Imperial_Incremental[], MATCH('Imperial Data'!AG686, Imperial_Incremental[Height], 1), MATCH('Cumulative Volumes Imperial'!$F$4 &amp; "EC", Imperial_Incremental[#Headers], 0)), 0))</f>
        <v/>
      </c>
      <c r="E697" s="30"/>
      <c r="F697" s="30"/>
      <c r="G697" s="30"/>
      <c r="H697" s="30"/>
      <c r="I697" s="30"/>
      <c r="J697" s="30" t="str">
        <f>IF(B697="","",IF('Cumulative Volumes Imperial'!$AQ$17=FALSE,L697,K697))</f>
        <v/>
      </c>
      <c r="K697" s="30"/>
      <c r="L697" s="30"/>
      <c r="M697" s="30"/>
      <c r="N697" s="30"/>
      <c r="O697" s="30"/>
      <c r="P697" s="30" t="str">
        <f>IF(B697=0,"",(((1/12)*'Imperial Data'!$AC$4*'Imperial Data'!$AC$5)-C697)*$H$6)</f>
        <v/>
      </c>
      <c r="Q697" s="30"/>
      <c r="R697" s="30"/>
      <c r="S697" s="30"/>
      <c r="T697" s="30"/>
      <c r="U697" s="30"/>
      <c r="V697" s="30"/>
      <c r="W697" s="30" t="str">
        <f t="shared" si="76"/>
        <v/>
      </c>
      <c r="X697" s="31"/>
      <c r="Y697" s="30" t="str">
        <f t="shared" si="77"/>
        <v/>
      </c>
    </row>
    <row r="698" spans="2:25" x14ac:dyDescent="0.2">
      <c r="B698" s="34"/>
      <c r="C698" s="30" t="str">
        <f>IF(B698=0,"",IF('Imperial Data'!AG687&gt;=1, INDEX(Imperial_Incremental[], MATCH('Imperial Data'!AG687, Imperial_Incremental[Height], 1), MATCH('Cumulative Volumes Imperial'!$F$4, Imperial_Incremental[#Headers], 0)), 0))</f>
        <v/>
      </c>
      <c r="D698" s="30" t="str">
        <f>IF(B698=0,"",IF('Imperial Data'!AG687&gt;=1, INDEX(Imperial_Incremental[], MATCH('Imperial Data'!AG687, Imperial_Incremental[Height], 1), MATCH('Cumulative Volumes Imperial'!$F$4 &amp; "EC", Imperial_Incremental[#Headers], 0)), 0))</f>
        <v/>
      </c>
      <c r="E698" s="30"/>
      <c r="F698" s="30"/>
      <c r="G698" s="30"/>
      <c r="H698" s="30"/>
      <c r="I698" s="30"/>
      <c r="J698" s="30" t="str">
        <f>IF(B698="","",IF('Cumulative Volumes Imperial'!$AQ$17=FALSE,L698,K698))</f>
        <v/>
      </c>
      <c r="K698" s="30"/>
      <c r="L698" s="30"/>
      <c r="M698" s="30"/>
      <c r="N698" s="30"/>
      <c r="O698" s="30"/>
      <c r="P698" s="30" t="str">
        <f>IF(B698=0,"",(((1/12)*'Imperial Data'!$AC$4*'Imperial Data'!$AC$5)-C698)*$H$6)</f>
        <v/>
      </c>
      <c r="Q698" s="30"/>
      <c r="R698" s="30"/>
      <c r="S698" s="30"/>
      <c r="T698" s="30"/>
      <c r="U698" s="30"/>
      <c r="V698" s="30"/>
      <c r="W698" s="30" t="str">
        <f t="shared" si="76"/>
        <v/>
      </c>
      <c r="X698" s="31"/>
      <c r="Y698" s="30" t="str">
        <f t="shared" si="77"/>
        <v/>
      </c>
    </row>
    <row r="699" spans="2:25" x14ac:dyDescent="0.2">
      <c r="B699" s="34"/>
      <c r="C699" s="30" t="str">
        <f>IF(B699=0,"",IF('Imperial Data'!AG688&gt;=1, INDEX(Imperial_Incremental[], MATCH('Imperial Data'!AG688, Imperial_Incremental[Height], 1), MATCH('Cumulative Volumes Imperial'!$F$4, Imperial_Incremental[#Headers], 0)), 0))</f>
        <v/>
      </c>
      <c r="D699" s="30" t="str">
        <f>IF(B699=0,"",IF('Imperial Data'!AG688&gt;=1, INDEX(Imperial_Incremental[], MATCH('Imperial Data'!AG688, Imperial_Incremental[Height], 1), MATCH('Cumulative Volumes Imperial'!$F$4 &amp; "EC", Imperial_Incremental[#Headers], 0)), 0))</f>
        <v/>
      </c>
      <c r="E699" s="30"/>
      <c r="F699" s="30"/>
      <c r="G699" s="30"/>
      <c r="H699" s="30"/>
      <c r="I699" s="30"/>
      <c r="J699" s="30" t="str">
        <f>IF(B699="","",IF('Cumulative Volumes Imperial'!$AQ$17=FALSE,L699,K699))</f>
        <v/>
      </c>
      <c r="K699" s="30"/>
      <c r="L699" s="30"/>
      <c r="M699" s="30"/>
      <c r="N699" s="30"/>
      <c r="O699" s="30"/>
      <c r="P699" s="30" t="str">
        <f>IF(B699=0,"",(((1/12)*'Imperial Data'!$AC$4*'Imperial Data'!$AC$5)-C699)*$H$6)</f>
        <v/>
      </c>
      <c r="Q699" s="30"/>
      <c r="R699" s="30"/>
      <c r="S699" s="30"/>
      <c r="T699" s="30"/>
      <c r="U699" s="30"/>
      <c r="V699" s="30"/>
      <c r="W699" s="30" t="str">
        <f t="shared" si="76"/>
        <v/>
      </c>
      <c r="X699" s="31"/>
      <c r="Y699" s="30" t="str">
        <f t="shared" si="77"/>
        <v/>
      </c>
    </row>
    <row r="700" spans="2:25" x14ac:dyDescent="0.2">
      <c r="B700" s="34"/>
      <c r="C700" s="30" t="str">
        <f>IF(B700=0,"",IF('Imperial Data'!AG689&gt;=1, INDEX(Imperial_Incremental[], MATCH('Imperial Data'!AG689, Imperial_Incremental[Height], 1), MATCH('Cumulative Volumes Imperial'!$F$4, Imperial_Incremental[#Headers], 0)), 0))</f>
        <v/>
      </c>
      <c r="D700" s="30" t="str">
        <f>IF(B700=0,"",IF('Imperial Data'!AG689&gt;=1, INDEX(Imperial_Incremental[], MATCH('Imperial Data'!AG689, Imperial_Incremental[Height], 1), MATCH('Cumulative Volumes Imperial'!$F$4 &amp; "EC", Imperial_Incremental[#Headers], 0)), 0))</f>
        <v/>
      </c>
      <c r="E700" s="30"/>
      <c r="F700" s="30"/>
      <c r="G700" s="30"/>
      <c r="H700" s="30"/>
      <c r="I700" s="30"/>
      <c r="J700" s="30" t="str">
        <f>IF(B700="","",IF('Cumulative Volumes Imperial'!$AQ$17=FALSE,L700,K700))</f>
        <v/>
      </c>
      <c r="K700" s="30"/>
      <c r="L700" s="30"/>
      <c r="M700" s="30"/>
      <c r="N700" s="30"/>
      <c r="O700" s="30"/>
      <c r="P700" s="30" t="str">
        <f>IF(B700=0,"",(((1/12)*'Imperial Data'!$AC$4*'Imperial Data'!$AC$5)-C700)*$H$6)</f>
        <v/>
      </c>
      <c r="Q700" s="30"/>
      <c r="R700" s="30"/>
      <c r="S700" s="30"/>
      <c r="T700" s="30"/>
      <c r="U700" s="30"/>
      <c r="V700" s="30"/>
      <c r="W700" s="30" t="str">
        <f t="shared" si="76"/>
        <v/>
      </c>
      <c r="X700" s="31"/>
      <c r="Y700" s="30" t="str">
        <f t="shared" si="77"/>
        <v/>
      </c>
    </row>
    <row r="701" spans="2:25" x14ac:dyDescent="0.2">
      <c r="B701" s="34"/>
      <c r="C701" s="30" t="str">
        <f>IF(B701=0,"",IF('Imperial Data'!AG690&gt;=1, INDEX(Imperial_Incremental[], MATCH('Imperial Data'!AG690, Imperial_Incremental[Height], 1), MATCH('Cumulative Volumes Imperial'!$F$4, Imperial_Incremental[#Headers], 0)), 0))</f>
        <v/>
      </c>
      <c r="D701" s="30" t="str">
        <f>IF(B701=0,"",IF('Imperial Data'!AG690&gt;=1, INDEX(Imperial_Incremental[], MATCH('Imperial Data'!AG690, Imperial_Incremental[Height], 1), MATCH('Cumulative Volumes Imperial'!$F$4 &amp; "EC", Imperial_Incremental[#Headers], 0)), 0))</f>
        <v/>
      </c>
      <c r="E701" s="30"/>
      <c r="F701" s="30"/>
      <c r="G701" s="30"/>
      <c r="H701" s="30"/>
      <c r="I701" s="30"/>
      <c r="J701" s="30" t="str">
        <f>IF(B701="","",IF('Cumulative Volumes Imperial'!$AQ$17=FALSE,L701,K701))</f>
        <v/>
      </c>
      <c r="K701" s="30"/>
      <c r="L701" s="30"/>
      <c r="M701" s="30"/>
      <c r="N701" s="30"/>
      <c r="O701" s="30"/>
      <c r="P701" s="30" t="str">
        <f>IF(B701=0,"",(((1/12)*'Imperial Data'!$AC$4*'Imperial Data'!$AC$5)-C701)*$H$6)</f>
        <v/>
      </c>
      <c r="Q701" s="30"/>
      <c r="R701" s="30"/>
      <c r="S701" s="30"/>
      <c r="T701" s="30"/>
      <c r="U701" s="30"/>
      <c r="V701" s="30"/>
      <c r="W701" s="30" t="str">
        <f t="shared" si="76"/>
        <v/>
      </c>
      <c r="X701" s="31"/>
      <c r="Y701" s="30" t="str">
        <f t="shared" si="77"/>
        <v/>
      </c>
    </row>
    <row r="702" spans="2:25" x14ac:dyDescent="0.2">
      <c r="B702" s="34"/>
      <c r="C702" s="30" t="str">
        <f>IF(B702=0,"",IF('Imperial Data'!AG691&gt;=1, INDEX(Imperial_Incremental[], MATCH('Imperial Data'!AG691, Imperial_Incremental[Height], 1), MATCH('Cumulative Volumes Imperial'!$F$4, Imperial_Incremental[#Headers], 0)), 0))</f>
        <v/>
      </c>
      <c r="D702" s="30" t="str">
        <f>IF(B702=0,"",IF('Imperial Data'!AG691&gt;=1, INDEX(Imperial_Incremental[], MATCH('Imperial Data'!AG691, Imperial_Incremental[Height], 1), MATCH('Cumulative Volumes Imperial'!$F$4 &amp; "EC", Imperial_Incremental[#Headers], 0)), 0))</f>
        <v/>
      </c>
      <c r="E702" s="30"/>
      <c r="F702" s="30"/>
      <c r="G702" s="30"/>
      <c r="H702" s="30"/>
      <c r="I702" s="30"/>
      <c r="J702" s="30" t="str">
        <f>IF(B702="","",IF('Cumulative Volumes Imperial'!$AQ$17=FALSE,L702,K702))</f>
        <v/>
      </c>
      <c r="K702" s="30"/>
      <c r="L702" s="30"/>
      <c r="M702" s="30"/>
      <c r="N702" s="30"/>
      <c r="O702" s="30"/>
      <c r="P702" s="30" t="str">
        <f>IF(B702=0,"",(((1/12)*'Imperial Data'!$AC$4*'Imperial Data'!$AC$5)-C702)*$H$6)</f>
        <v/>
      </c>
      <c r="Q702" s="30"/>
      <c r="R702" s="30"/>
      <c r="S702" s="30"/>
      <c r="T702" s="30"/>
      <c r="U702" s="30"/>
      <c r="V702" s="30"/>
      <c r="W702" s="30" t="str">
        <f t="shared" si="76"/>
        <v/>
      </c>
      <c r="X702" s="31"/>
      <c r="Y702" s="30" t="str">
        <f t="shared" si="77"/>
        <v/>
      </c>
    </row>
    <row r="703" spans="2:25" x14ac:dyDescent="0.2">
      <c r="B703" s="34"/>
      <c r="C703" s="30" t="str">
        <f>IF(B703=0,"",IF('Imperial Data'!AG692&gt;=1, INDEX(Imperial_Incremental[], MATCH('Imperial Data'!AG692, Imperial_Incremental[Height], 1), MATCH('Cumulative Volumes Imperial'!$F$4, Imperial_Incremental[#Headers], 0)), 0))</f>
        <v/>
      </c>
      <c r="D703" s="30" t="str">
        <f>IF(B703=0,"",IF('Imperial Data'!AG692&gt;=1, INDEX(Imperial_Incremental[], MATCH('Imperial Data'!AG692, Imperial_Incremental[Height], 1), MATCH('Cumulative Volumes Imperial'!$F$4 &amp; "EC", Imperial_Incremental[#Headers], 0)), 0))</f>
        <v/>
      </c>
      <c r="E703" s="30"/>
      <c r="F703" s="30"/>
      <c r="G703" s="30"/>
      <c r="H703" s="30"/>
      <c r="I703" s="30"/>
      <c r="J703" s="30" t="str">
        <f>IF(B703="","",IF('Cumulative Volumes Imperial'!$AQ$17=FALSE,L703,K703))</f>
        <v/>
      </c>
      <c r="K703" s="30"/>
      <c r="L703" s="30"/>
      <c r="M703" s="30"/>
      <c r="N703" s="30"/>
      <c r="O703" s="30"/>
      <c r="P703" s="30" t="str">
        <f>IF(B703=0,"",(((1/12)*'Imperial Data'!$AC$4*'Imperial Data'!$AC$5)-C703)*$H$6)</f>
        <v/>
      </c>
      <c r="Q703" s="30"/>
      <c r="R703" s="30"/>
      <c r="S703" s="30"/>
      <c r="T703" s="30"/>
      <c r="U703" s="30"/>
      <c r="V703" s="30"/>
      <c r="W703" s="30" t="str">
        <f t="shared" si="76"/>
        <v/>
      </c>
      <c r="X703" s="31"/>
      <c r="Y703" s="30" t="str">
        <f t="shared" si="77"/>
        <v/>
      </c>
    </row>
    <row r="704" spans="2:25" x14ac:dyDescent="0.2">
      <c r="B704" s="34"/>
      <c r="C704" s="30" t="str">
        <f>IF(B704=0,"",IF('Imperial Data'!AG693&gt;=1, INDEX(Imperial_Incremental[], MATCH('Imperial Data'!AG693, Imperial_Incremental[Height], 1), MATCH('Cumulative Volumes Imperial'!$F$4, Imperial_Incremental[#Headers], 0)), 0))</f>
        <v/>
      </c>
      <c r="D704" s="30" t="str">
        <f>IF(B704=0,"",IF('Imperial Data'!AG693&gt;=1, INDEX(Imperial_Incremental[], MATCH('Imperial Data'!AG693, Imperial_Incremental[Height], 1), MATCH('Cumulative Volumes Imperial'!$F$4 &amp; "EC", Imperial_Incremental[#Headers], 0)), 0))</f>
        <v/>
      </c>
      <c r="E704" s="30"/>
      <c r="F704" s="30"/>
      <c r="G704" s="30"/>
      <c r="H704" s="30"/>
      <c r="I704" s="30"/>
      <c r="J704" s="30" t="str">
        <f>IF(B704="","",IF('Cumulative Volumes Imperial'!$AQ$17=FALSE,L704,K704))</f>
        <v/>
      </c>
      <c r="K704" s="30"/>
      <c r="L704" s="30"/>
      <c r="M704" s="30"/>
      <c r="N704" s="30"/>
      <c r="O704" s="30"/>
      <c r="P704" s="30" t="str">
        <f>IF(B704=0,"",(((1/12)*'Imperial Data'!$AC$4*'Imperial Data'!$AC$5)-C704)*$H$6)</f>
        <v/>
      </c>
      <c r="Q704" s="30"/>
      <c r="R704" s="30"/>
      <c r="S704" s="30"/>
      <c r="T704" s="30"/>
      <c r="U704" s="30"/>
      <c r="V704" s="30"/>
      <c r="W704" s="30" t="str">
        <f t="shared" si="76"/>
        <v/>
      </c>
      <c r="X704" s="31"/>
      <c r="Y704" s="30" t="str">
        <f t="shared" si="77"/>
        <v/>
      </c>
    </row>
    <row r="705" spans="2:25" x14ac:dyDescent="0.2">
      <c r="B705" s="34"/>
      <c r="C705" s="30" t="str">
        <f>IF(B705=0,"",IF('Imperial Data'!AG694&gt;=1, INDEX(Imperial_Incremental[], MATCH('Imperial Data'!AG694, Imperial_Incremental[Height], 1), MATCH('Cumulative Volumes Imperial'!$F$4, Imperial_Incremental[#Headers], 0)), 0))</f>
        <v/>
      </c>
      <c r="D705" s="30" t="str">
        <f>IF(B705=0,"",IF('Imperial Data'!AG694&gt;=1, INDEX(Imperial_Incremental[], MATCH('Imperial Data'!AG694, Imperial_Incremental[Height], 1), MATCH('Cumulative Volumes Imperial'!$F$4 &amp; "EC", Imperial_Incremental[#Headers], 0)), 0))</f>
        <v/>
      </c>
      <c r="E705" s="30"/>
      <c r="F705" s="30"/>
      <c r="G705" s="30"/>
      <c r="H705" s="30"/>
      <c r="I705" s="30"/>
      <c r="J705" s="30" t="str">
        <f>IF(B705="","",IF('Cumulative Volumes Imperial'!$AQ$17=FALSE,L705,K705))</f>
        <v/>
      </c>
      <c r="K705" s="30"/>
      <c r="L705" s="30"/>
      <c r="M705" s="30"/>
      <c r="N705" s="30"/>
      <c r="O705" s="30"/>
      <c r="P705" s="30" t="str">
        <f>IF(B705=0,"",(((1/12)*'Imperial Data'!$AC$4*'Imperial Data'!$AC$5)-C705)*$H$6)</f>
        <v/>
      </c>
      <c r="Q705" s="30"/>
      <c r="R705" s="30"/>
      <c r="S705" s="30"/>
      <c r="T705" s="30"/>
      <c r="U705" s="30"/>
      <c r="V705" s="30"/>
      <c r="W705" s="30" t="str">
        <f t="shared" si="76"/>
        <v/>
      </c>
      <c r="X705" s="31"/>
      <c r="Y705" s="30" t="str">
        <f t="shared" si="77"/>
        <v/>
      </c>
    </row>
    <row r="706" spans="2:25" x14ac:dyDescent="0.2">
      <c r="B706" s="34"/>
      <c r="C706" s="30" t="str">
        <f>IF(B706=0,"",IF('Imperial Data'!AG695&gt;=1, INDEX(Imperial_Incremental[], MATCH('Imperial Data'!AG695, Imperial_Incremental[Height], 1), MATCH('Cumulative Volumes Imperial'!$F$4, Imperial_Incremental[#Headers], 0)), 0))</f>
        <v/>
      </c>
      <c r="D706" s="30" t="str">
        <f>IF(B706=0,"",IF('Imperial Data'!AG695&gt;=1, INDEX(Imperial_Incremental[], MATCH('Imperial Data'!AG695, Imperial_Incremental[Height], 1), MATCH('Cumulative Volumes Imperial'!$F$4 &amp; "EC", Imperial_Incremental[#Headers], 0)), 0))</f>
        <v/>
      </c>
      <c r="E706" s="30"/>
      <c r="F706" s="30"/>
      <c r="G706" s="30"/>
      <c r="H706" s="30"/>
      <c r="I706" s="30"/>
      <c r="J706" s="30" t="str">
        <f>IF(B706="","",IF('Cumulative Volumes Imperial'!$AQ$17=FALSE,L706,K706))</f>
        <v/>
      </c>
      <c r="K706" s="30"/>
      <c r="L706" s="30"/>
      <c r="M706" s="30"/>
      <c r="N706" s="30"/>
      <c r="O706" s="30"/>
      <c r="P706" s="30" t="str">
        <f>IF(B706=0,"",(((1/12)*'Imperial Data'!$AC$4*'Imperial Data'!$AC$5)-C706)*$H$6)</f>
        <v/>
      </c>
      <c r="Q706" s="30"/>
      <c r="R706" s="30"/>
      <c r="S706" s="30"/>
      <c r="T706" s="30"/>
      <c r="U706" s="30"/>
      <c r="V706" s="30"/>
      <c r="W706" s="30" t="str">
        <f t="shared" si="76"/>
        <v/>
      </c>
      <c r="X706" s="31"/>
      <c r="Y706" s="30" t="str">
        <f t="shared" si="77"/>
        <v/>
      </c>
    </row>
    <row r="707" spans="2:25" x14ac:dyDescent="0.2">
      <c r="B707" s="34"/>
      <c r="C707" s="30" t="str">
        <f>IF(B707=0,"",IF('Imperial Data'!AG696&gt;=1, INDEX(Imperial_Incremental[], MATCH('Imperial Data'!AG696, Imperial_Incremental[Height], 1), MATCH('Cumulative Volumes Imperial'!$F$4, Imperial_Incremental[#Headers], 0)), 0))</f>
        <v/>
      </c>
      <c r="D707" s="30" t="str">
        <f>IF(B707=0,"",IF('Imperial Data'!AG696&gt;=1, INDEX(Imperial_Incremental[], MATCH('Imperial Data'!AG696, Imperial_Incremental[Height], 1), MATCH('Cumulative Volumes Imperial'!$F$4 &amp; "EC", Imperial_Incremental[#Headers], 0)), 0))</f>
        <v/>
      </c>
      <c r="E707" s="30"/>
      <c r="F707" s="30"/>
      <c r="G707" s="30"/>
      <c r="H707" s="30"/>
      <c r="I707" s="30"/>
      <c r="J707" s="30" t="str">
        <f>IF(B707="","",IF('Cumulative Volumes Imperial'!$AQ$17=FALSE,L707,K707))</f>
        <v/>
      </c>
      <c r="K707" s="30"/>
      <c r="L707" s="30"/>
      <c r="M707" s="30"/>
      <c r="N707" s="30"/>
      <c r="O707" s="30"/>
      <c r="P707" s="30" t="str">
        <f>IF(B707=0,"",(((1/12)*'Imperial Data'!$AC$4*'Imperial Data'!$AC$5)-C707)*$H$6)</f>
        <v/>
      </c>
      <c r="Q707" s="30"/>
      <c r="R707" s="30"/>
      <c r="S707" s="30"/>
      <c r="T707" s="30"/>
      <c r="U707" s="30"/>
      <c r="V707" s="30"/>
      <c r="W707" s="30" t="str">
        <f t="shared" si="76"/>
        <v/>
      </c>
      <c r="X707" s="31"/>
      <c r="Y707" s="30" t="str">
        <f t="shared" si="77"/>
        <v/>
      </c>
    </row>
    <row r="708" spans="2:25" x14ac:dyDescent="0.2">
      <c r="B708" s="34"/>
      <c r="C708" s="30" t="str">
        <f>IF(B708=0,"",IF('Imperial Data'!AG697&gt;=1, INDEX(Imperial_Incremental[], MATCH('Imperial Data'!AG697, Imperial_Incremental[Height], 1), MATCH('Cumulative Volumes Imperial'!$F$4, Imperial_Incremental[#Headers], 0)), 0))</f>
        <v/>
      </c>
      <c r="D708" s="30" t="str">
        <f>IF(B708=0,"",IF('Imperial Data'!AG697&gt;=1, INDEX(Imperial_Incremental[], MATCH('Imperial Data'!AG697, Imperial_Incremental[Height], 1), MATCH('Cumulative Volumes Imperial'!$F$4 &amp; "EC", Imperial_Incremental[#Headers], 0)), 0))</f>
        <v/>
      </c>
      <c r="E708" s="30"/>
      <c r="F708" s="30"/>
      <c r="G708" s="30"/>
      <c r="H708" s="30"/>
      <c r="I708" s="30"/>
      <c r="J708" s="30" t="str">
        <f>IF(B708="","",IF('Cumulative Volumes Imperial'!$AQ$17=FALSE,L708,K708))</f>
        <v/>
      </c>
      <c r="K708" s="30"/>
      <c r="L708" s="30"/>
      <c r="M708" s="30"/>
      <c r="N708" s="30"/>
      <c r="O708" s="30"/>
      <c r="P708" s="30" t="str">
        <f>IF(B708=0,"",(((1/12)*'Imperial Data'!$AC$4*'Imperial Data'!$AC$5)-C708)*$H$6)</f>
        <v/>
      </c>
      <c r="Q708" s="30"/>
      <c r="R708" s="30"/>
      <c r="S708" s="30"/>
      <c r="T708" s="30"/>
      <c r="U708" s="30"/>
      <c r="V708" s="30"/>
      <c r="W708" s="30" t="str">
        <f t="shared" si="76"/>
        <v/>
      </c>
      <c r="X708" s="31"/>
      <c r="Y708" s="30" t="str">
        <f t="shared" si="77"/>
        <v/>
      </c>
    </row>
    <row r="709" spans="2:25" x14ac:dyDescent="0.2">
      <c r="B709" s="34"/>
      <c r="C709" s="30" t="str">
        <f>IF(B709=0,"",IF('Imperial Data'!AG698&gt;=1, INDEX(Imperial_Incremental[], MATCH('Imperial Data'!AG698, Imperial_Incremental[Height], 1), MATCH('Cumulative Volumes Imperial'!$F$4, Imperial_Incremental[#Headers], 0)), 0))</f>
        <v/>
      </c>
      <c r="D709" s="30" t="str">
        <f>IF(B709=0,"",IF('Imperial Data'!AG698&gt;=1, INDEX(Imperial_Incremental[], MATCH('Imperial Data'!AG698, Imperial_Incremental[Height], 1), MATCH('Cumulative Volumes Imperial'!$F$4 &amp; "EC", Imperial_Incremental[#Headers], 0)), 0))</f>
        <v/>
      </c>
      <c r="E709" s="30"/>
      <c r="F709" s="30"/>
      <c r="G709" s="30"/>
      <c r="H709" s="30"/>
      <c r="I709" s="30"/>
      <c r="J709" s="30" t="str">
        <f>IF(B709="","",IF('Cumulative Volumes Imperial'!$AQ$17=FALSE,L709,K709))</f>
        <v/>
      </c>
      <c r="K709" s="30"/>
      <c r="L709" s="30"/>
      <c r="M709" s="30"/>
      <c r="N709" s="30"/>
      <c r="O709" s="30"/>
      <c r="P709" s="30" t="str">
        <f>IF(B709=0,"",(((1/12)*'Imperial Data'!$AC$4*'Imperial Data'!$AC$5)-C709)*$H$6)</f>
        <v/>
      </c>
      <c r="Q709" s="30"/>
      <c r="R709" s="30"/>
      <c r="S709" s="30"/>
      <c r="T709" s="30"/>
      <c r="U709" s="30"/>
      <c r="V709" s="30"/>
      <c r="W709" s="30" t="str">
        <f t="shared" si="76"/>
        <v/>
      </c>
      <c r="X709" s="31"/>
      <c r="Y709" s="30" t="str">
        <f t="shared" si="77"/>
        <v/>
      </c>
    </row>
    <row r="710" spans="2:25" x14ac:dyDescent="0.2">
      <c r="B710" s="34"/>
      <c r="C710" s="30" t="str">
        <f>IF(B710=0,"",IF('Imperial Data'!AG699&gt;=1, INDEX(Imperial_Incremental[], MATCH('Imperial Data'!AG699, Imperial_Incremental[Height], 1), MATCH('Cumulative Volumes Imperial'!$F$4, Imperial_Incremental[#Headers], 0)), 0))</f>
        <v/>
      </c>
      <c r="D710" s="30" t="str">
        <f>IF(B710=0,"",IF('Imperial Data'!AG699&gt;=1, INDEX(Imperial_Incremental[], MATCH('Imperial Data'!AG699, Imperial_Incremental[Height], 1), MATCH('Cumulative Volumes Imperial'!$F$4 &amp; "EC", Imperial_Incremental[#Headers], 0)), 0))</f>
        <v/>
      </c>
      <c r="E710" s="30"/>
      <c r="F710" s="30"/>
      <c r="G710" s="30"/>
      <c r="H710" s="30"/>
      <c r="I710" s="30"/>
      <c r="J710" s="30" t="str">
        <f>IF(B710="","",IF('Cumulative Volumes Imperial'!$AQ$17=FALSE,L710,K710))</f>
        <v/>
      </c>
      <c r="K710" s="30"/>
      <c r="L710" s="30"/>
      <c r="M710" s="30"/>
      <c r="N710" s="30"/>
      <c r="O710" s="30"/>
      <c r="P710" s="30" t="str">
        <f>IF(B710=0,"",(((1/12)*'Imperial Data'!$AC$4*'Imperial Data'!$AC$5)-C710)*$H$6)</f>
        <v/>
      </c>
      <c r="Q710" s="30"/>
      <c r="R710" s="30"/>
      <c r="S710" s="30"/>
      <c r="T710" s="30"/>
      <c r="U710" s="30"/>
      <c r="V710" s="30"/>
      <c r="W710" s="30" t="str">
        <f t="shared" si="76"/>
        <v/>
      </c>
      <c r="X710" s="31"/>
      <c r="Y710" s="30" t="str">
        <f t="shared" si="77"/>
        <v/>
      </c>
    </row>
    <row r="711" spans="2:25" x14ac:dyDescent="0.2">
      <c r="B711" s="34"/>
      <c r="C711" s="30" t="str">
        <f>IF(B711=0,"",IF('Imperial Data'!AG700&gt;=1, INDEX(Imperial_Incremental[], MATCH('Imperial Data'!AG700, Imperial_Incremental[Height], 1), MATCH('Cumulative Volumes Imperial'!$F$4, Imperial_Incremental[#Headers], 0)), 0))</f>
        <v/>
      </c>
      <c r="D711" s="30" t="str">
        <f>IF(B711=0,"",IF('Imperial Data'!AG700&gt;=1, INDEX(Imperial_Incremental[], MATCH('Imperial Data'!AG700, Imperial_Incremental[Height], 1), MATCH('Cumulative Volumes Imperial'!$F$4 &amp; "EC", Imperial_Incremental[#Headers], 0)), 0))</f>
        <v/>
      </c>
      <c r="E711" s="30"/>
      <c r="F711" s="30"/>
      <c r="G711" s="30"/>
      <c r="H711" s="30"/>
      <c r="I711" s="30"/>
      <c r="J711" s="30" t="str">
        <f>IF(B711="","",IF('Cumulative Volumes Imperial'!$AQ$17=FALSE,L711,K711))</f>
        <v/>
      </c>
      <c r="K711" s="30"/>
      <c r="L711" s="30"/>
      <c r="M711" s="30"/>
      <c r="N711" s="30"/>
      <c r="O711" s="30"/>
      <c r="P711" s="30" t="str">
        <f>IF(B711=0,"",(((1/12)*'Imperial Data'!$AC$4*'Imperial Data'!$AC$5)-C711)*$H$6)</f>
        <v/>
      </c>
      <c r="Q711" s="30"/>
      <c r="R711" s="30"/>
      <c r="S711" s="30"/>
      <c r="T711" s="30"/>
      <c r="U711" s="30"/>
      <c r="V711" s="30"/>
      <c r="W711" s="30" t="str">
        <f t="shared" si="76"/>
        <v/>
      </c>
      <c r="X711" s="31"/>
      <c r="Y711" s="30" t="str">
        <f t="shared" si="77"/>
        <v/>
      </c>
    </row>
    <row r="712" spans="2:25" x14ac:dyDescent="0.2">
      <c r="B712" s="34"/>
      <c r="C712" s="30" t="str">
        <f>IF(B712=0,"",IF('Imperial Data'!AG701&gt;=1, INDEX(Imperial_Incremental[], MATCH('Imperial Data'!AG701, Imperial_Incremental[Height], 1), MATCH('Cumulative Volumes Imperial'!$F$4, Imperial_Incremental[#Headers], 0)), 0))</f>
        <v/>
      </c>
      <c r="D712" s="30" t="str">
        <f>IF(B712=0,"",IF('Imperial Data'!AG701&gt;=1, INDEX(Imperial_Incremental[], MATCH('Imperial Data'!AG701, Imperial_Incremental[Height], 1), MATCH('Cumulative Volumes Imperial'!$F$4 &amp; "EC", Imperial_Incremental[#Headers], 0)), 0))</f>
        <v/>
      </c>
      <c r="E712" s="30"/>
      <c r="F712" s="30"/>
      <c r="G712" s="30"/>
      <c r="H712" s="30"/>
      <c r="I712" s="30"/>
      <c r="J712" s="30" t="str">
        <f>IF(B712="","",IF('Cumulative Volumes Imperial'!$AQ$17=FALSE,L712,K712))</f>
        <v/>
      </c>
      <c r="K712" s="30"/>
      <c r="L712" s="30"/>
      <c r="M712" s="30"/>
      <c r="N712" s="30"/>
      <c r="O712" s="30"/>
      <c r="P712" s="30" t="str">
        <f>IF(B712=0,"",(((1/12)*'Imperial Data'!$AC$4*'Imperial Data'!$AC$5)-C712)*$H$6)</f>
        <v/>
      </c>
      <c r="Q712" s="30"/>
      <c r="R712" s="30"/>
      <c r="S712" s="30"/>
      <c r="T712" s="30"/>
      <c r="U712" s="30"/>
      <c r="V712" s="30"/>
      <c r="W712" s="30" t="str">
        <f t="shared" si="76"/>
        <v/>
      </c>
      <c r="X712" s="31"/>
      <c r="Y712" s="30" t="str">
        <f t="shared" si="77"/>
        <v/>
      </c>
    </row>
    <row r="713" spans="2:25" x14ac:dyDescent="0.2">
      <c r="B713" s="34"/>
      <c r="C713" s="30" t="str">
        <f>IF(B713=0,"",IF('Imperial Data'!AG702&gt;=1, INDEX(Imperial_Incremental[], MATCH('Imperial Data'!AG702, Imperial_Incremental[Height], 1), MATCH('Cumulative Volumes Imperial'!$F$4, Imperial_Incremental[#Headers], 0)), 0))</f>
        <v/>
      </c>
      <c r="D713" s="30" t="str">
        <f>IF(B713=0,"",IF('Imperial Data'!AG702&gt;=1, INDEX(Imperial_Incremental[], MATCH('Imperial Data'!AG702, Imperial_Incremental[Height], 1), MATCH('Cumulative Volumes Imperial'!$F$4 &amp; "EC", Imperial_Incremental[#Headers], 0)), 0))</f>
        <v/>
      </c>
      <c r="E713" s="30"/>
      <c r="F713" s="30"/>
      <c r="G713" s="30"/>
      <c r="H713" s="30"/>
      <c r="I713" s="30"/>
      <c r="J713" s="30" t="str">
        <f>IF(B713="","",IF('Cumulative Volumes Imperial'!$AQ$17=FALSE,L713,K713))</f>
        <v/>
      </c>
      <c r="K713" s="30"/>
      <c r="L713" s="30"/>
      <c r="M713" s="30"/>
      <c r="N713" s="30"/>
      <c r="O713" s="30"/>
      <c r="P713" s="30" t="str">
        <f>IF(B713=0,"",(((1/12)*'Imperial Data'!$AC$4*'Imperial Data'!$AC$5)-C713)*$H$6)</f>
        <v/>
      </c>
      <c r="Q713" s="30"/>
      <c r="R713" s="30"/>
      <c r="S713" s="30"/>
      <c r="T713" s="30"/>
      <c r="U713" s="30"/>
      <c r="V713" s="30"/>
      <c r="W713" s="30" t="str">
        <f t="shared" si="76"/>
        <v/>
      </c>
      <c r="X713" s="31"/>
      <c r="Y713" s="30" t="str">
        <f t="shared" si="77"/>
        <v/>
      </c>
    </row>
    <row r="714" spans="2:25" x14ac:dyDescent="0.2">
      <c r="B714" s="34"/>
      <c r="C714" s="30" t="str">
        <f>IF(B714=0,"",IF('Imperial Data'!AG703&gt;=1, INDEX(Imperial_Incremental[], MATCH('Imperial Data'!AG703, Imperial_Incremental[Height], 1), MATCH('Cumulative Volumes Imperial'!$F$4, Imperial_Incremental[#Headers], 0)), 0))</f>
        <v/>
      </c>
      <c r="D714" s="30" t="str">
        <f>IF(B714=0,"",IF('Imperial Data'!AG703&gt;=1, INDEX(Imperial_Incremental[], MATCH('Imperial Data'!AG703, Imperial_Incremental[Height], 1), MATCH('Cumulative Volumes Imperial'!$F$4 &amp; "EC", Imperial_Incremental[#Headers], 0)), 0))</f>
        <v/>
      </c>
      <c r="E714" s="30"/>
      <c r="F714" s="30"/>
      <c r="G714" s="30"/>
      <c r="H714" s="30"/>
      <c r="I714" s="30"/>
      <c r="J714" s="30" t="str">
        <f>IF(B714="","",IF('Cumulative Volumes Imperial'!$AQ$17=FALSE,L714,K714))</f>
        <v/>
      </c>
      <c r="K714" s="30"/>
      <c r="L714" s="30"/>
      <c r="M714" s="30"/>
      <c r="N714" s="30"/>
      <c r="O714" s="30"/>
      <c r="P714" s="30" t="str">
        <f>IF(B714=0,"",(((1/12)*'Imperial Data'!$AC$4*'Imperial Data'!$AC$5)-C714)*$H$6)</f>
        <v/>
      </c>
      <c r="Q714" s="30"/>
      <c r="R714" s="30"/>
      <c r="S714" s="30"/>
      <c r="T714" s="30"/>
      <c r="U714" s="30"/>
      <c r="V714" s="30"/>
      <c r="W714" s="30" t="str">
        <f t="shared" si="76"/>
        <v/>
      </c>
      <c r="X714" s="31"/>
      <c r="Y714" s="30" t="str">
        <f t="shared" si="77"/>
        <v/>
      </c>
    </row>
    <row r="715" spans="2:25" x14ac:dyDescent="0.2">
      <c r="B715" s="34"/>
      <c r="C715" s="30" t="str">
        <f>IF(B715=0,"",IF('Imperial Data'!AG704&gt;=1, INDEX(Imperial_Incremental[], MATCH('Imperial Data'!AG704, Imperial_Incremental[Height], 1), MATCH('Cumulative Volumes Imperial'!$F$4, Imperial_Incremental[#Headers], 0)), 0))</f>
        <v/>
      </c>
      <c r="D715" s="30" t="str">
        <f>IF(B715=0,"",IF('Imperial Data'!AG704&gt;=1, INDEX(Imperial_Incremental[], MATCH('Imperial Data'!AG704, Imperial_Incremental[Height], 1), MATCH('Cumulative Volumes Imperial'!$F$4 &amp; "EC", Imperial_Incremental[#Headers], 0)), 0))</f>
        <v/>
      </c>
      <c r="E715" s="30"/>
      <c r="F715" s="30"/>
      <c r="G715" s="30"/>
      <c r="H715" s="30"/>
      <c r="I715" s="30"/>
      <c r="J715" s="30" t="str">
        <f>IF(B715="","",IF('Cumulative Volumes Imperial'!$AQ$17=FALSE,L715,K715))</f>
        <v/>
      </c>
      <c r="K715" s="30"/>
      <c r="L715" s="30"/>
      <c r="M715" s="30"/>
      <c r="N715" s="30"/>
      <c r="O715" s="30"/>
      <c r="P715" s="30" t="str">
        <f>IF(B715=0,"",(((1/12)*'Imperial Data'!$AC$4*'Imperial Data'!$AC$5)-C715)*$H$6)</f>
        <v/>
      </c>
      <c r="Q715" s="30"/>
      <c r="R715" s="30"/>
      <c r="S715" s="30"/>
      <c r="T715" s="30"/>
      <c r="U715" s="30"/>
      <c r="V715" s="30"/>
      <c r="W715" s="30" t="str">
        <f t="shared" si="76"/>
        <v/>
      </c>
      <c r="X715" s="31"/>
      <c r="Y715" s="30" t="str">
        <f t="shared" si="77"/>
        <v/>
      </c>
    </row>
    <row r="716" spans="2:25" x14ac:dyDescent="0.2">
      <c r="B716" s="34"/>
      <c r="C716" s="30" t="str">
        <f>IF(B716=0,"",IF('Imperial Data'!AG705&gt;=1, INDEX(Imperial_Incremental[], MATCH('Imperial Data'!AG705, Imperial_Incremental[Height], 1), MATCH('Cumulative Volumes Imperial'!$F$4, Imperial_Incremental[#Headers], 0)), 0))</f>
        <v/>
      </c>
      <c r="D716" s="30" t="str">
        <f>IF(B716=0,"",IF('Imperial Data'!AG705&gt;=1, INDEX(Imperial_Incremental[], MATCH('Imperial Data'!AG705, Imperial_Incremental[Height], 1), MATCH('Cumulative Volumes Imperial'!$F$4 &amp; "EC", Imperial_Incremental[#Headers], 0)), 0))</f>
        <v/>
      </c>
      <c r="E716" s="30"/>
      <c r="F716" s="30"/>
      <c r="G716" s="30"/>
      <c r="H716" s="30"/>
      <c r="I716" s="30"/>
      <c r="J716" s="30" t="str">
        <f>IF(B716="","",IF('Cumulative Volumes Imperial'!$AQ$17=FALSE,L716,K716))</f>
        <v/>
      </c>
      <c r="K716" s="30"/>
      <c r="L716" s="30"/>
      <c r="M716" s="30"/>
      <c r="N716" s="30"/>
      <c r="O716" s="30"/>
      <c r="P716" s="30" t="str">
        <f>IF(B716=0,"",(((1/12)*'Imperial Data'!$AC$4*'Imperial Data'!$AC$5)-C716)*$H$6)</f>
        <v/>
      </c>
      <c r="Q716" s="30"/>
      <c r="R716" s="30"/>
      <c r="S716" s="30"/>
      <c r="T716" s="30"/>
      <c r="U716" s="30"/>
      <c r="V716" s="30"/>
      <c r="W716" s="30" t="str">
        <f t="shared" si="76"/>
        <v/>
      </c>
      <c r="X716" s="31"/>
      <c r="Y716" s="30" t="str">
        <f t="shared" si="77"/>
        <v/>
      </c>
    </row>
    <row r="717" spans="2:25" x14ac:dyDescent="0.2">
      <c r="B717" s="34"/>
      <c r="C717" s="30" t="str">
        <f>IF(B717=0,"",IF('Imperial Data'!AG706&gt;=1, INDEX(Imperial_Incremental[], MATCH('Imperial Data'!AG706, Imperial_Incremental[Height], 1), MATCH('Cumulative Volumes Imperial'!$F$4, Imperial_Incremental[#Headers], 0)), 0))</f>
        <v/>
      </c>
      <c r="D717" s="30" t="str">
        <f>IF(B717=0,"",IF('Imperial Data'!AG706&gt;=1, INDEX(Imperial_Incremental[], MATCH('Imperial Data'!AG706, Imperial_Incremental[Height], 1), MATCH('Cumulative Volumes Imperial'!$F$4 &amp; "EC", Imperial_Incremental[#Headers], 0)), 0))</f>
        <v/>
      </c>
      <c r="E717" s="30"/>
      <c r="F717" s="30"/>
      <c r="G717" s="30"/>
      <c r="H717" s="30"/>
      <c r="I717" s="30"/>
      <c r="J717" s="30" t="str">
        <f>IF(B717="","",IF('Cumulative Volumes Imperial'!$AQ$17=FALSE,L717,K717))</f>
        <v/>
      </c>
      <c r="K717" s="30"/>
      <c r="L717" s="30"/>
      <c r="M717" s="30"/>
      <c r="N717" s="30"/>
      <c r="O717" s="30"/>
      <c r="P717" s="30" t="str">
        <f>IF(B717=0,"",(((1/12)*'Imperial Data'!$AC$4*'Imperial Data'!$AC$5)-C717)*$H$6)</f>
        <v/>
      </c>
      <c r="Q717" s="30"/>
      <c r="R717" s="30"/>
      <c r="S717" s="30"/>
      <c r="T717" s="30"/>
      <c r="U717" s="30"/>
      <c r="V717" s="30"/>
      <c r="W717" s="30" t="str">
        <f t="shared" si="76"/>
        <v/>
      </c>
      <c r="X717" s="31"/>
      <c r="Y717" s="30" t="str">
        <f t="shared" si="77"/>
        <v/>
      </c>
    </row>
    <row r="718" spans="2:25" x14ac:dyDescent="0.2">
      <c r="B718" s="34"/>
      <c r="C718" s="30" t="str">
        <f>IF(B718=0,"",IF('Imperial Data'!AG707&gt;=1, INDEX(Imperial_Incremental[], MATCH('Imperial Data'!AG707, Imperial_Incremental[Height], 1), MATCH('Cumulative Volumes Imperial'!$F$4, Imperial_Incremental[#Headers], 0)), 0))</f>
        <v/>
      </c>
      <c r="D718" s="30" t="str">
        <f>IF(B718=0,"",IF('Imperial Data'!AG707&gt;=1, INDEX(Imperial_Incremental[], MATCH('Imperial Data'!AG707, Imperial_Incremental[Height], 1), MATCH('Cumulative Volumes Imperial'!$F$4 &amp; "EC", Imperial_Incremental[#Headers], 0)), 0))</f>
        <v/>
      </c>
      <c r="E718" s="30"/>
      <c r="F718" s="30"/>
      <c r="G718" s="30"/>
      <c r="H718" s="30"/>
      <c r="I718" s="30"/>
      <c r="J718" s="30" t="str">
        <f>IF(B718="","",IF('Cumulative Volumes Imperial'!$AQ$17=FALSE,L718,K718))</f>
        <v/>
      </c>
      <c r="K718" s="30"/>
      <c r="L718" s="30"/>
      <c r="M718" s="30"/>
      <c r="N718" s="30"/>
      <c r="O718" s="30"/>
      <c r="P718" s="30" t="str">
        <f>IF(B718=0,"",(((1/12)*'Imperial Data'!$AC$4*'Imperial Data'!$AC$5)-C718)*$H$6)</f>
        <v/>
      </c>
      <c r="Q718" s="30"/>
      <c r="R718" s="30"/>
      <c r="S718" s="30"/>
      <c r="T718" s="30"/>
      <c r="U718" s="30"/>
      <c r="V718" s="30"/>
      <c r="W718" s="30" t="str">
        <f t="shared" si="76"/>
        <v/>
      </c>
      <c r="X718" s="31"/>
      <c r="Y718" s="30" t="str">
        <f t="shared" si="77"/>
        <v/>
      </c>
    </row>
    <row r="719" spans="2:25" x14ac:dyDescent="0.2">
      <c r="B719" s="34"/>
      <c r="C719" s="30" t="str">
        <f>IF(B719=0,"",IF('Imperial Data'!AG708&gt;=1, INDEX(Imperial_Incremental[], MATCH('Imperial Data'!AG708, Imperial_Incremental[Height], 1), MATCH('Cumulative Volumes Imperial'!$F$4, Imperial_Incremental[#Headers], 0)), 0))</f>
        <v/>
      </c>
      <c r="D719" s="30" t="str">
        <f>IF(B719=0,"",IF('Imperial Data'!AG708&gt;=1, INDEX(Imperial_Incremental[], MATCH('Imperial Data'!AG708, Imperial_Incremental[Height], 1), MATCH('Cumulative Volumes Imperial'!$F$4 &amp; "EC", Imperial_Incremental[#Headers], 0)), 0))</f>
        <v/>
      </c>
      <c r="E719" s="30"/>
      <c r="F719" s="30"/>
      <c r="G719" s="30"/>
      <c r="H719" s="30"/>
      <c r="I719" s="30"/>
      <c r="J719" s="30" t="str">
        <f>IF(B719="","",IF('Cumulative Volumes Imperial'!$AQ$17=FALSE,L719,K719))</f>
        <v/>
      </c>
      <c r="K719" s="30"/>
      <c r="L719" s="30"/>
      <c r="M719" s="30"/>
      <c r="N719" s="30"/>
      <c r="O719" s="30"/>
      <c r="P719" s="30" t="str">
        <f>IF(B719=0,"",(((1/12)*'Imperial Data'!$AC$4*'Imperial Data'!$AC$5)-C719)*$H$6)</f>
        <v/>
      </c>
      <c r="Q719" s="30"/>
      <c r="R719" s="30"/>
      <c r="S719" s="30"/>
      <c r="T719" s="30"/>
      <c r="U719" s="30"/>
      <c r="V719" s="30"/>
      <c r="W719" s="30" t="str">
        <f t="shared" ref="W719:W770" si="78">IF(B719=0,"",IF(B719=1,D719+R719,W720+D719+R719))</f>
        <v/>
      </c>
      <c r="X719" s="31"/>
      <c r="Y719" s="30" t="str">
        <f t="shared" ref="Y719:Y766" si="79">IF(B719=0,"",$E$7+B719/12)</f>
        <v/>
      </c>
    </row>
    <row r="720" spans="2:25" x14ac:dyDescent="0.2">
      <c r="B720" s="34"/>
      <c r="C720" s="30" t="str">
        <f>IF(B720=0,"",IF('Imperial Data'!AG709&gt;=1, INDEX(Imperial_Incremental[], MATCH('Imperial Data'!AG709, Imperial_Incremental[Height], 1), MATCH('Cumulative Volumes Imperial'!$F$4, Imperial_Incremental[#Headers], 0)), 0))</f>
        <v/>
      </c>
      <c r="D720" s="30" t="str">
        <f>IF(B720=0,"",IF('Imperial Data'!AG709&gt;=1, INDEX(Imperial_Incremental[], MATCH('Imperial Data'!AG709, Imperial_Incremental[Height], 1), MATCH('Cumulative Volumes Imperial'!$F$4 &amp; "EC", Imperial_Incremental[#Headers], 0)), 0))</f>
        <v/>
      </c>
      <c r="E720" s="30"/>
      <c r="F720" s="30"/>
      <c r="G720" s="30"/>
      <c r="H720" s="30"/>
      <c r="I720" s="30"/>
      <c r="J720" s="30" t="str">
        <f>IF(B720="","",IF('Cumulative Volumes Imperial'!$AQ$17=FALSE,L720,K720))</f>
        <v/>
      </c>
      <c r="K720" s="30"/>
      <c r="L720" s="30"/>
      <c r="M720" s="30"/>
      <c r="N720" s="30"/>
      <c r="O720" s="30"/>
      <c r="P720" s="30" t="str">
        <f>IF(B720=0,"",(((1/12)*'Imperial Data'!$AC$4*'Imperial Data'!$AC$5)-C720)*$H$6)</f>
        <v/>
      </c>
      <c r="Q720" s="30"/>
      <c r="R720" s="30"/>
      <c r="S720" s="30"/>
      <c r="T720" s="30"/>
      <c r="U720" s="30"/>
      <c r="V720" s="30"/>
      <c r="W720" s="30" t="str">
        <f t="shared" si="78"/>
        <v/>
      </c>
      <c r="X720" s="31"/>
      <c r="Y720" s="30" t="str">
        <f t="shared" si="79"/>
        <v/>
      </c>
    </row>
    <row r="721" spans="2:25" x14ac:dyDescent="0.2">
      <c r="B721" s="34"/>
      <c r="C721" s="30" t="str">
        <f>IF(B721=0,"",IF('Imperial Data'!AG710&gt;=1, INDEX(Imperial_Incremental[], MATCH('Imperial Data'!AG710, Imperial_Incremental[Height], 1), MATCH('Cumulative Volumes Imperial'!$F$4, Imperial_Incremental[#Headers], 0)), 0))</f>
        <v/>
      </c>
      <c r="D721" s="30" t="str">
        <f>IF(B721=0,"",IF('Imperial Data'!AG710&gt;=1, INDEX(Imperial_Incremental[], MATCH('Imperial Data'!AG710, Imperial_Incremental[Height], 1), MATCH('Cumulative Volumes Imperial'!$F$4 &amp; "EC", Imperial_Incremental[#Headers], 0)), 0))</f>
        <v/>
      </c>
      <c r="E721" s="30"/>
      <c r="F721" s="30"/>
      <c r="G721" s="30"/>
      <c r="H721" s="30"/>
      <c r="I721" s="30"/>
      <c r="J721" s="30" t="str">
        <f>IF(B721="","",IF('Cumulative Volumes Imperial'!$AQ$17=FALSE,L721,K721))</f>
        <v/>
      </c>
      <c r="K721" s="30"/>
      <c r="L721" s="30"/>
      <c r="M721" s="30"/>
      <c r="N721" s="30"/>
      <c r="O721" s="30"/>
      <c r="P721" s="30" t="str">
        <f>IF(B721=0,"",(((1/12)*'Imperial Data'!$AC$4*'Imperial Data'!$AC$5)-C721)*$H$6)</f>
        <v/>
      </c>
      <c r="Q721" s="30"/>
      <c r="R721" s="30"/>
      <c r="S721" s="30"/>
      <c r="T721" s="30"/>
      <c r="U721" s="30"/>
      <c r="V721" s="30"/>
      <c r="W721" s="30" t="str">
        <f t="shared" si="78"/>
        <v/>
      </c>
      <c r="X721" s="31"/>
      <c r="Y721" s="30" t="str">
        <f t="shared" si="79"/>
        <v/>
      </c>
    </row>
    <row r="722" spans="2:25" x14ac:dyDescent="0.2">
      <c r="B722" s="34"/>
      <c r="C722" s="30" t="str">
        <f>IF(B722=0,"",IF('Imperial Data'!AG711&gt;=1, INDEX(Imperial_Incremental[], MATCH('Imperial Data'!AG711, Imperial_Incremental[Height], 1), MATCH('Cumulative Volumes Imperial'!$F$4, Imperial_Incremental[#Headers], 0)), 0))</f>
        <v/>
      </c>
      <c r="D722" s="30" t="str">
        <f>IF(B722=0,"",IF('Imperial Data'!AG711&gt;=1, INDEX(Imperial_Incremental[], MATCH('Imperial Data'!AG711, Imperial_Incremental[Height], 1), MATCH('Cumulative Volumes Imperial'!$F$4 &amp; "EC", Imperial_Incremental[#Headers], 0)), 0))</f>
        <v/>
      </c>
      <c r="E722" s="30"/>
      <c r="F722" s="30"/>
      <c r="G722" s="30"/>
      <c r="H722" s="30"/>
      <c r="I722" s="30"/>
      <c r="J722" s="30" t="str">
        <f>IF(B722="","",IF('Cumulative Volumes Imperial'!$AQ$17=FALSE,L722,K722))</f>
        <v/>
      </c>
      <c r="K722" s="30"/>
      <c r="L722" s="30"/>
      <c r="M722" s="30"/>
      <c r="N722" s="30"/>
      <c r="O722" s="30"/>
      <c r="P722" s="30" t="str">
        <f>IF(B722=0,"",(((1/12)*'Imperial Data'!$AC$4*'Imperial Data'!$AC$5)-C722)*$H$6)</f>
        <v/>
      </c>
      <c r="Q722" s="30"/>
      <c r="R722" s="30"/>
      <c r="S722" s="30"/>
      <c r="T722" s="30"/>
      <c r="U722" s="30"/>
      <c r="V722" s="30"/>
      <c r="W722" s="30" t="str">
        <f t="shared" si="78"/>
        <v/>
      </c>
      <c r="X722" s="31"/>
      <c r="Y722" s="30" t="str">
        <f t="shared" si="79"/>
        <v/>
      </c>
    </row>
    <row r="723" spans="2:25" x14ac:dyDescent="0.2">
      <c r="B723" s="34"/>
      <c r="C723" s="30" t="str">
        <f>IF(B723=0,"",IF('Imperial Data'!AG712&gt;=1, INDEX(Imperial_Incremental[], MATCH('Imperial Data'!AG712, Imperial_Incremental[Height], 1), MATCH('Cumulative Volumes Imperial'!$F$4, Imperial_Incremental[#Headers], 0)), 0))</f>
        <v/>
      </c>
      <c r="D723" s="30" t="str">
        <f>IF(B723=0,"",IF('Imperial Data'!AG712&gt;=1, INDEX(Imperial_Incremental[], MATCH('Imperial Data'!AG712, Imperial_Incremental[Height], 1), MATCH('Cumulative Volumes Imperial'!$F$4 &amp; "EC", Imperial_Incremental[#Headers], 0)), 0))</f>
        <v/>
      </c>
      <c r="E723" s="30"/>
      <c r="F723" s="30"/>
      <c r="G723" s="30"/>
      <c r="H723" s="30"/>
      <c r="I723" s="30"/>
      <c r="J723" s="30" t="str">
        <f>IF(B723="","",IF('Cumulative Volumes Imperial'!$AQ$17=FALSE,L723,K723))</f>
        <v/>
      </c>
      <c r="K723" s="30"/>
      <c r="L723" s="30"/>
      <c r="M723" s="30"/>
      <c r="N723" s="30"/>
      <c r="O723" s="30"/>
      <c r="P723" s="30" t="str">
        <f>IF(B723=0,"",(((1/12)*'Imperial Data'!$AC$4*'Imperial Data'!$AC$5)-C723)*$H$6)</f>
        <v/>
      </c>
      <c r="Q723" s="30"/>
      <c r="R723" s="30"/>
      <c r="S723" s="30"/>
      <c r="T723" s="30"/>
      <c r="U723" s="30"/>
      <c r="V723" s="30"/>
      <c r="W723" s="30" t="str">
        <f t="shared" si="78"/>
        <v/>
      </c>
      <c r="X723" s="31"/>
      <c r="Y723" s="30" t="str">
        <f t="shared" si="79"/>
        <v/>
      </c>
    </row>
    <row r="724" spans="2:25" x14ac:dyDescent="0.2">
      <c r="B724" s="34"/>
      <c r="C724" s="30" t="str">
        <f>IF(B724=0,"",IF('Imperial Data'!AG713&gt;=1, INDEX(Imperial_Incremental[], MATCH('Imperial Data'!AG713, Imperial_Incremental[Height], 1), MATCH('Cumulative Volumes Imperial'!$F$4, Imperial_Incremental[#Headers], 0)), 0))</f>
        <v/>
      </c>
      <c r="D724" s="30" t="str">
        <f>IF(B724=0,"",IF('Imperial Data'!AG713&gt;=1, INDEX(Imperial_Incremental[], MATCH('Imperial Data'!AG713, Imperial_Incremental[Height], 1), MATCH('Cumulative Volumes Imperial'!$F$4 &amp; "EC", Imperial_Incremental[#Headers], 0)), 0))</f>
        <v/>
      </c>
      <c r="E724" s="30"/>
      <c r="F724" s="30"/>
      <c r="G724" s="30"/>
      <c r="H724" s="30"/>
      <c r="I724" s="30"/>
      <c r="J724" s="30" t="str">
        <f>IF(B724="","",IF('Cumulative Volumes Imperial'!$AQ$17=FALSE,L724,K724))</f>
        <v/>
      </c>
      <c r="K724" s="30"/>
      <c r="L724" s="30"/>
      <c r="M724" s="30"/>
      <c r="N724" s="30"/>
      <c r="O724" s="30"/>
      <c r="P724" s="30" t="str">
        <f>IF(B724=0,"",(((1/12)*'Imperial Data'!$AC$4*'Imperial Data'!$AC$5)-C724)*$H$6)</f>
        <v/>
      </c>
      <c r="Q724" s="30"/>
      <c r="R724" s="30"/>
      <c r="S724" s="30"/>
      <c r="T724" s="30"/>
      <c r="U724" s="30"/>
      <c r="V724" s="30"/>
      <c r="W724" s="30" t="str">
        <f t="shared" si="78"/>
        <v/>
      </c>
      <c r="X724" s="31"/>
      <c r="Y724" s="30" t="str">
        <f t="shared" si="79"/>
        <v/>
      </c>
    </row>
    <row r="725" spans="2:25" x14ac:dyDescent="0.2">
      <c r="B725" s="34"/>
      <c r="C725" s="30" t="str">
        <f>IF(B725=0,"",IF('Imperial Data'!AG714&gt;=1, INDEX(Imperial_Incremental[], MATCH('Imperial Data'!AG714, Imperial_Incremental[Height], 1), MATCH('Cumulative Volumes Imperial'!$F$4, Imperial_Incremental[#Headers], 0)), 0))</f>
        <v/>
      </c>
      <c r="D725" s="30" t="str">
        <f>IF(B725=0,"",IF('Imperial Data'!AG714&gt;=1, INDEX(Imperial_Incremental[], MATCH('Imperial Data'!AG714, Imperial_Incremental[Height], 1), MATCH('Cumulative Volumes Imperial'!$F$4 &amp; "EC", Imperial_Incremental[#Headers], 0)), 0))</f>
        <v/>
      </c>
      <c r="E725" s="30"/>
      <c r="F725" s="30"/>
      <c r="G725" s="30"/>
      <c r="H725" s="30"/>
      <c r="I725" s="30"/>
      <c r="J725" s="30" t="str">
        <f>IF(B725="","",IF('Cumulative Volumes Imperial'!$AQ$17=FALSE,L725,K725))</f>
        <v/>
      </c>
      <c r="K725" s="30"/>
      <c r="L725" s="30"/>
      <c r="M725" s="30"/>
      <c r="N725" s="30"/>
      <c r="O725" s="30"/>
      <c r="P725" s="30" t="str">
        <f>IF(B725=0,"",(((1/12)*'Imperial Data'!$AC$4*'Imperial Data'!$AC$5)-C725)*$H$6)</f>
        <v/>
      </c>
      <c r="Q725" s="30"/>
      <c r="R725" s="30"/>
      <c r="S725" s="30"/>
      <c r="T725" s="30"/>
      <c r="U725" s="30"/>
      <c r="V725" s="30"/>
      <c r="W725" s="30" t="str">
        <f t="shared" si="78"/>
        <v/>
      </c>
      <c r="X725" s="31"/>
      <c r="Y725" s="30" t="str">
        <f t="shared" si="79"/>
        <v/>
      </c>
    </row>
    <row r="726" spans="2:25" x14ac:dyDescent="0.2">
      <c r="B726" s="34"/>
      <c r="C726" s="30" t="str">
        <f>IF(B726=0,"",IF('Imperial Data'!AG715&gt;=1, INDEX(Imperial_Incremental[], MATCH('Imperial Data'!AG715, Imperial_Incremental[Height], 1), MATCH('Cumulative Volumes Imperial'!$F$4, Imperial_Incremental[#Headers], 0)), 0))</f>
        <v/>
      </c>
      <c r="D726" s="30" t="str">
        <f>IF(B726=0,"",IF('Imperial Data'!AG715&gt;=1, INDEX(Imperial_Incremental[], MATCH('Imperial Data'!AG715, Imperial_Incremental[Height], 1), MATCH('Cumulative Volumes Imperial'!$F$4 &amp; "EC", Imperial_Incremental[#Headers], 0)), 0))</f>
        <v/>
      </c>
      <c r="E726" s="30"/>
      <c r="F726" s="30"/>
      <c r="G726" s="30"/>
      <c r="H726" s="30"/>
      <c r="I726" s="30"/>
      <c r="J726" s="30" t="str">
        <f>IF(B726="","",IF('Cumulative Volumes Imperial'!$AQ$17=FALSE,L726,K726))</f>
        <v/>
      </c>
      <c r="K726" s="30"/>
      <c r="L726" s="30"/>
      <c r="M726" s="30"/>
      <c r="N726" s="30"/>
      <c r="O726" s="30"/>
      <c r="P726" s="30" t="str">
        <f>IF(B726=0,"",(((1/12)*'Imperial Data'!$AC$4*'Imperial Data'!$AC$5)-C726)*$H$6)</f>
        <v/>
      </c>
      <c r="Q726" s="30"/>
      <c r="R726" s="30"/>
      <c r="S726" s="30"/>
      <c r="T726" s="30"/>
      <c r="U726" s="30"/>
      <c r="V726" s="30"/>
      <c r="W726" s="30" t="str">
        <f t="shared" si="78"/>
        <v/>
      </c>
      <c r="X726" s="31"/>
      <c r="Y726" s="30" t="str">
        <f t="shared" si="79"/>
        <v/>
      </c>
    </row>
    <row r="727" spans="2:25" x14ac:dyDescent="0.2">
      <c r="B727" s="34"/>
      <c r="C727" s="30" t="str">
        <f>IF(B727=0,"",IF('Imperial Data'!AG716&gt;=1, INDEX(Imperial_Incremental[], MATCH('Imperial Data'!AG716, Imperial_Incremental[Height], 1), MATCH('Cumulative Volumes Imperial'!$F$4, Imperial_Incremental[#Headers], 0)), 0))</f>
        <v/>
      </c>
      <c r="D727" s="30" t="str">
        <f>IF(B727=0,"",IF('Imperial Data'!AG716&gt;=1, INDEX(Imperial_Incremental[], MATCH('Imperial Data'!AG716, Imperial_Incremental[Height], 1), MATCH('Cumulative Volumes Imperial'!$F$4 &amp; "EC", Imperial_Incremental[#Headers], 0)), 0))</f>
        <v/>
      </c>
      <c r="E727" s="30"/>
      <c r="F727" s="30"/>
      <c r="G727" s="30"/>
      <c r="H727" s="30"/>
      <c r="I727" s="30"/>
      <c r="J727" s="30" t="str">
        <f>IF(B727="","",IF('Cumulative Volumes Imperial'!$AQ$17=FALSE,L727,K727))</f>
        <v/>
      </c>
      <c r="K727" s="30"/>
      <c r="L727" s="30"/>
      <c r="M727" s="30"/>
      <c r="N727" s="30"/>
      <c r="O727" s="30"/>
      <c r="P727" s="30" t="str">
        <f>IF(B727=0,"",(((1/12)*'Imperial Data'!$AC$4*'Imperial Data'!$AC$5)-C727)*$H$6)</f>
        <v/>
      </c>
      <c r="Q727" s="30"/>
      <c r="R727" s="30"/>
      <c r="S727" s="30"/>
      <c r="T727" s="30"/>
      <c r="U727" s="30"/>
      <c r="V727" s="30"/>
      <c r="W727" s="30" t="str">
        <f t="shared" si="78"/>
        <v/>
      </c>
      <c r="X727" s="31"/>
      <c r="Y727" s="30" t="str">
        <f t="shared" si="79"/>
        <v/>
      </c>
    </row>
    <row r="728" spans="2:25" x14ac:dyDescent="0.2">
      <c r="B728" s="34"/>
      <c r="C728" s="30" t="str">
        <f>IF(B728=0,"",IF('Imperial Data'!AG717&gt;=1, INDEX(Imperial_Incremental[], MATCH('Imperial Data'!AG717, Imperial_Incremental[Height], 1), MATCH('Cumulative Volumes Imperial'!$F$4, Imperial_Incremental[#Headers], 0)), 0))</f>
        <v/>
      </c>
      <c r="D728" s="30" t="str">
        <f>IF(B728=0,"",IF('Imperial Data'!AG717&gt;=1, INDEX(Imperial_Incremental[], MATCH('Imperial Data'!AG717, Imperial_Incremental[Height], 1), MATCH('Cumulative Volumes Imperial'!$F$4 &amp; "EC", Imperial_Incremental[#Headers], 0)), 0))</f>
        <v/>
      </c>
      <c r="E728" s="30"/>
      <c r="F728" s="30"/>
      <c r="G728" s="30"/>
      <c r="H728" s="30"/>
      <c r="I728" s="30"/>
      <c r="J728" s="30" t="str">
        <f>IF(B728="","",IF('Cumulative Volumes Imperial'!$AQ$17=FALSE,L728,K728))</f>
        <v/>
      </c>
      <c r="K728" s="30"/>
      <c r="L728" s="30"/>
      <c r="M728" s="30"/>
      <c r="N728" s="30"/>
      <c r="O728" s="30"/>
      <c r="P728" s="30" t="str">
        <f>IF(B728=0,"",(((1/12)*'Imperial Data'!$AC$4*'Imperial Data'!$AC$5)-C728)*$H$6)</f>
        <v/>
      </c>
      <c r="Q728" s="30"/>
      <c r="R728" s="30"/>
      <c r="S728" s="30"/>
      <c r="T728" s="30"/>
      <c r="U728" s="30"/>
      <c r="V728" s="30"/>
      <c r="W728" s="30" t="str">
        <f t="shared" si="78"/>
        <v/>
      </c>
      <c r="X728" s="31"/>
      <c r="Y728" s="30" t="str">
        <f t="shared" si="79"/>
        <v/>
      </c>
    </row>
    <row r="729" spans="2:25" x14ac:dyDescent="0.2">
      <c r="B729" s="34"/>
      <c r="C729" s="30" t="str">
        <f>IF(B729=0,"",IF('Imperial Data'!AG718&gt;=1, INDEX(Imperial_Incremental[], MATCH('Imperial Data'!AG718, Imperial_Incremental[Height], 1), MATCH('Cumulative Volumes Imperial'!$F$4, Imperial_Incremental[#Headers], 0)), 0))</f>
        <v/>
      </c>
      <c r="D729" s="30" t="str">
        <f>IF(B729=0,"",IF('Imperial Data'!AG718&gt;=1, INDEX(Imperial_Incremental[], MATCH('Imperial Data'!AG718, Imperial_Incremental[Height], 1), MATCH('Cumulative Volumes Imperial'!$F$4 &amp; "EC", Imperial_Incremental[#Headers], 0)), 0))</f>
        <v/>
      </c>
      <c r="E729" s="30"/>
      <c r="F729" s="30"/>
      <c r="G729" s="30"/>
      <c r="H729" s="30"/>
      <c r="I729" s="30"/>
      <c r="J729" s="30" t="str">
        <f>IF(B729="","",IF('Cumulative Volumes Imperial'!$AQ$17=FALSE,L729,K729))</f>
        <v/>
      </c>
      <c r="K729" s="30"/>
      <c r="L729" s="30"/>
      <c r="M729" s="30"/>
      <c r="N729" s="30"/>
      <c r="O729" s="30"/>
      <c r="P729" s="30" t="str">
        <f>IF(B729=0,"",(((1/12)*'Imperial Data'!$AC$4*'Imperial Data'!$AC$5)-C729)*$H$6)</f>
        <v/>
      </c>
      <c r="Q729" s="30"/>
      <c r="R729" s="30"/>
      <c r="S729" s="30"/>
      <c r="T729" s="30"/>
      <c r="U729" s="30"/>
      <c r="V729" s="30"/>
      <c r="W729" s="30" t="str">
        <f t="shared" si="78"/>
        <v/>
      </c>
      <c r="X729" s="31"/>
      <c r="Y729" s="30" t="str">
        <f t="shared" si="79"/>
        <v/>
      </c>
    </row>
    <row r="730" spans="2:25" x14ac:dyDescent="0.2">
      <c r="B730" s="34"/>
      <c r="C730" s="30" t="str">
        <f>IF(B730=0,"",IF('Imperial Data'!AG719&gt;=1, INDEX(Imperial_Incremental[], MATCH('Imperial Data'!AG719, Imperial_Incremental[Height], 1), MATCH('Cumulative Volumes Imperial'!$F$4, Imperial_Incremental[#Headers], 0)), 0))</f>
        <v/>
      </c>
      <c r="D730" s="30" t="str">
        <f>IF(B730=0,"",IF('Imperial Data'!AG719&gt;=1, INDEX(Imperial_Incremental[], MATCH('Imperial Data'!AG719, Imperial_Incremental[Height], 1), MATCH('Cumulative Volumes Imperial'!$F$4 &amp; "EC", Imperial_Incremental[#Headers], 0)), 0))</f>
        <v/>
      </c>
      <c r="E730" s="30"/>
      <c r="F730" s="30"/>
      <c r="G730" s="30"/>
      <c r="H730" s="30"/>
      <c r="I730" s="30"/>
      <c r="J730" s="30" t="str">
        <f>IF(B730="","",IF('Cumulative Volumes Imperial'!$AQ$17=FALSE,L730,K730))</f>
        <v/>
      </c>
      <c r="K730" s="30"/>
      <c r="L730" s="30"/>
      <c r="M730" s="30"/>
      <c r="N730" s="30"/>
      <c r="O730" s="30"/>
      <c r="P730" s="30" t="str">
        <f>IF(B730=0,"",(((1/12)*'Imperial Data'!$AC$4*'Imperial Data'!$AC$5)-C730)*$H$6)</f>
        <v/>
      </c>
      <c r="Q730" s="30"/>
      <c r="R730" s="30"/>
      <c r="S730" s="30"/>
      <c r="T730" s="30"/>
      <c r="U730" s="30"/>
      <c r="V730" s="30"/>
      <c r="W730" s="30" t="str">
        <f t="shared" si="78"/>
        <v/>
      </c>
      <c r="X730" s="31"/>
      <c r="Y730" s="30" t="str">
        <f t="shared" si="79"/>
        <v/>
      </c>
    </row>
    <row r="731" spans="2:25" x14ac:dyDescent="0.2">
      <c r="B731" s="34"/>
      <c r="C731" s="30" t="str">
        <f>IF(B731=0,"",IF('Imperial Data'!AG720&gt;=1, INDEX(Imperial_Incremental[], MATCH('Imperial Data'!AG720, Imperial_Incremental[Height], 1), MATCH('Cumulative Volumes Imperial'!$F$4, Imperial_Incremental[#Headers], 0)), 0))</f>
        <v/>
      </c>
      <c r="D731" s="30" t="str">
        <f>IF(B731=0,"",IF('Imperial Data'!AG720&gt;=1, INDEX(Imperial_Incremental[], MATCH('Imperial Data'!AG720, Imperial_Incremental[Height], 1), MATCH('Cumulative Volumes Imperial'!$F$4 &amp; "EC", Imperial_Incremental[#Headers], 0)), 0))</f>
        <v/>
      </c>
      <c r="E731" s="30"/>
      <c r="F731" s="30"/>
      <c r="G731" s="30"/>
      <c r="H731" s="30"/>
      <c r="I731" s="30"/>
      <c r="J731" s="30" t="str">
        <f>IF(B731="","",IF('Cumulative Volumes Imperial'!$AQ$17=FALSE,L731,K731))</f>
        <v/>
      </c>
      <c r="K731" s="30"/>
      <c r="L731" s="30"/>
      <c r="M731" s="30"/>
      <c r="N731" s="30"/>
      <c r="O731" s="30"/>
      <c r="P731" s="30" t="str">
        <f>IF(B731=0,"",(((1/12)*'Imperial Data'!$AC$4*'Imperial Data'!$AC$5)-C731)*$H$6)</f>
        <v/>
      </c>
      <c r="Q731" s="30"/>
      <c r="R731" s="30"/>
      <c r="S731" s="30"/>
      <c r="T731" s="30"/>
      <c r="U731" s="30"/>
      <c r="V731" s="30"/>
      <c r="W731" s="30" t="str">
        <f t="shared" si="78"/>
        <v/>
      </c>
      <c r="X731" s="31"/>
      <c r="Y731" s="30" t="str">
        <f t="shared" si="79"/>
        <v/>
      </c>
    </row>
    <row r="732" spans="2:25" x14ac:dyDescent="0.2">
      <c r="B732" s="34"/>
      <c r="C732" s="30" t="str">
        <f>IF(B732=0,"",IF('Imperial Data'!AG721&gt;=1, INDEX(Imperial_Incremental[], MATCH('Imperial Data'!AG721, Imperial_Incremental[Height], 1), MATCH('Cumulative Volumes Imperial'!$F$4, Imperial_Incremental[#Headers], 0)), 0))</f>
        <v/>
      </c>
      <c r="D732" s="30" t="str">
        <f>IF(B732=0,"",IF('Imperial Data'!AG721&gt;=1, INDEX(Imperial_Incremental[], MATCH('Imperial Data'!AG721, Imperial_Incremental[Height], 1), MATCH('Cumulative Volumes Imperial'!$F$4 &amp; "EC", Imperial_Incremental[#Headers], 0)), 0))</f>
        <v/>
      </c>
      <c r="E732" s="30"/>
      <c r="F732" s="30"/>
      <c r="G732" s="30"/>
      <c r="H732" s="30"/>
      <c r="I732" s="30"/>
      <c r="J732" s="30" t="str">
        <f>IF(B732="","",IF('Cumulative Volumes Imperial'!$AQ$17=FALSE,L732,K732))</f>
        <v/>
      </c>
      <c r="K732" s="30"/>
      <c r="L732" s="30"/>
      <c r="M732" s="30"/>
      <c r="N732" s="30"/>
      <c r="O732" s="30"/>
      <c r="P732" s="30" t="str">
        <f>IF(B732=0,"",(((1/12)*'Imperial Data'!$AC$4*'Imperial Data'!$AC$5)-C732)*$H$6)</f>
        <v/>
      </c>
      <c r="Q732" s="30"/>
      <c r="R732" s="30"/>
      <c r="S732" s="30"/>
      <c r="T732" s="30"/>
      <c r="U732" s="30"/>
      <c r="V732" s="30"/>
      <c r="W732" s="30" t="str">
        <f t="shared" si="78"/>
        <v/>
      </c>
      <c r="X732" s="31"/>
      <c r="Y732" s="30" t="str">
        <f t="shared" si="79"/>
        <v/>
      </c>
    </row>
    <row r="733" spans="2:25" x14ac:dyDescent="0.2">
      <c r="B733" s="34"/>
      <c r="C733" s="30" t="str">
        <f>IF(B733=0,"",IF('Imperial Data'!AG722&gt;=1, INDEX(Imperial_Incremental[], MATCH('Imperial Data'!AG722, Imperial_Incremental[Height], 1), MATCH('Cumulative Volumes Imperial'!$F$4, Imperial_Incremental[#Headers], 0)), 0))</f>
        <v/>
      </c>
      <c r="D733" s="30" t="str">
        <f>IF(B733=0,"",IF('Imperial Data'!AG722&gt;=1, INDEX(Imperial_Incremental[], MATCH('Imperial Data'!AG722, Imperial_Incremental[Height], 1), MATCH('Cumulative Volumes Imperial'!$F$4 &amp; "EC", Imperial_Incremental[#Headers], 0)), 0))</f>
        <v/>
      </c>
      <c r="E733" s="30"/>
      <c r="F733" s="30"/>
      <c r="G733" s="30"/>
      <c r="H733" s="30"/>
      <c r="I733" s="30"/>
      <c r="J733" s="30" t="str">
        <f>IF(B733="","",IF('Cumulative Volumes Imperial'!$AQ$17=FALSE,L733,K733))</f>
        <v/>
      </c>
      <c r="K733" s="30"/>
      <c r="L733" s="30"/>
      <c r="M733" s="30"/>
      <c r="N733" s="30"/>
      <c r="O733" s="30"/>
      <c r="P733" s="30" t="str">
        <f>IF(B733=0,"",(((1/12)*'Imperial Data'!$AC$4*'Imperial Data'!$AC$5)-C733)*$H$6)</f>
        <v/>
      </c>
      <c r="Q733" s="30"/>
      <c r="R733" s="30"/>
      <c r="S733" s="30"/>
      <c r="T733" s="30"/>
      <c r="U733" s="30"/>
      <c r="V733" s="30"/>
      <c r="W733" s="30" t="str">
        <f t="shared" si="78"/>
        <v/>
      </c>
      <c r="X733" s="31"/>
      <c r="Y733" s="30" t="str">
        <f t="shared" si="79"/>
        <v/>
      </c>
    </row>
    <row r="734" spans="2:25" x14ac:dyDescent="0.2">
      <c r="B734" s="34"/>
      <c r="C734" s="30" t="str">
        <f>IF(B734=0,"",IF('Imperial Data'!AG723&gt;=1, INDEX(Imperial_Incremental[], MATCH('Imperial Data'!AG723, Imperial_Incremental[Height], 1), MATCH('Cumulative Volumes Imperial'!$F$4, Imperial_Incremental[#Headers], 0)), 0))</f>
        <v/>
      </c>
      <c r="D734" s="30" t="str">
        <f>IF(B734=0,"",IF('Imperial Data'!AG723&gt;=1, INDEX(Imperial_Incremental[], MATCH('Imperial Data'!AG723, Imperial_Incremental[Height], 1), MATCH('Cumulative Volumes Imperial'!$F$4 &amp; "EC", Imperial_Incremental[#Headers], 0)), 0))</f>
        <v/>
      </c>
      <c r="E734" s="30"/>
      <c r="F734" s="30"/>
      <c r="G734" s="30"/>
      <c r="H734" s="30"/>
      <c r="I734" s="30"/>
      <c r="J734" s="30" t="str">
        <f>IF(B734="","",IF('Cumulative Volumes Imperial'!$AQ$17=FALSE,L734,K734))</f>
        <v/>
      </c>
      <c r="K734" s="30"/>
      <c r="L734" s="30"/>
      <c r="M734" s="30"/>
      <c r="N734" s="30"/>
      <c r="O734" s="30"/>
      <c r="P734" s="30" t="str">
        <f>IF(B734=0,"",(((1/12)*'Imperial Data'!$AC$4*'Imperial Data'!$AC$5)-C734)*$H$6)</f>
        <v/>
      </c>
      <c r="Q734" s="30"/>
      <c r="R734" s="30"/>
      <c r="S734" s="30"/>
      <c r="T734" s="30"/>
      <c r="U734" s="30"/>
      <c r="V734" s="30"/>
      <c r="W734" s="30" t="str">
        <f t="shared" si="78"/>
        <v/>
      </c>
      <c r="X734" s="31"/>
      <c r="Y734" s="30" t="str">
        <f t="shared" si="79"/>
        <v/>
      </c>
    </row>
    <row r="735" spans="2:25" x14ac:dyDescent="0.2">
      <c r="B735" s="34"/>
      <c r="C735" s="30" t="str">
        <f>IF(B735=0,"",IF('Imperial Data'!AG724&gt;=1, INDEX(Imperial_Incremental[], MATCH('Imperial Data'!AG724, Imperial_Incremental[Height], 1), MATCH('Cumulative Volumes Imperial'!$F$4, Imperial_Incremental[#Headers], 0)), 0))</f>
        <v/>
      </c>
      <c r="D735" s="30" t="str">
        <f>IF(B735=0,"",IF('Imperial Data'!AG724&gt;=1, INDEX(Imperial_Incremental[], MATCH('Imperial Data'!AG724, Imperial_Incremental[Height], 1), MATCH('Cumulative Volumes Imperial'!$F$4 &amp; "EC", Imperial_Incremental[#Headers], 0)), 0))</f>
        <v/>
      </c>
      <c r="E735" s="30"/>
      <c r="F735" s="30"/>
      <c r="G735" s="30"/>
      <c r="H735" s="30"/>
      <c r="I735" s="30"/>
      <c r="J735" s="30" t="str">
        <f>IF(B735="","",IF('Cumulative Volumes Imperial'!$AQ$17=FALSE,L735,K735))</f>
        <v/>
      </c>
      <c r="K735" s="30"/>
      <c r="L735" s="30"/>
      <c r="M735" s="30"/>
      <c r="N735" s="30"/>
      <c r="O735" s="30"/>
      <c r="P735" s="30" t="str">
        <f>IF(B735=0,"",(((1/12)*'Imperial Data'!$AC$4*'Imperial Data'!$AC$5)-C735)*$H$6)</f>
        <v/>
      </c>
      <c r="Q735" s="30"/>
      <c r="R735" s="30"/>
      <c r="S735" s="30"/>
      <c r="T735" s="30"/>
      <c r="U735" s="30"/>
      <c r="V735" s="30"/>
      <c r="W735" s="30" t="str">
        <f t="shared" si="78"/>
        <v/>
      </c>
      <c r="X735" s="31"/>
      <c r="Y735" s="30" t="str">
        <f t="shared" si="79"/>
        <v/>
      </c>
    </row>
    <row r="736" spans="2:25" x14ac:dyDescent="0.2">
      <c r="B736" s="34"/>
      <c r="C736" s="30" t="str">
        <f>IF(B736=0,"",IF('Imperial Data'!AG725&gt;=1, INDEX(Imperial_Incremental[], MATCH('Imperial Data'!AG725, Imperial_Incremental[Height], 1), MATCH('Cumulative Volumes Imperial'!$F$4, Imperial_Incremental[#Headers], 0)), 0))</f>
        <v/>
      </c>
      <c r="D736" s="30" t="str">
        <f>IF(B736=0,"",IF('Imperial Data'!AG725&gt;=1, INDEX(Imperial_Incremental[], MATCH('Imperial Data'!AG725, Imperial_Incremental[Height], 1), MATCH('Cumulative Volumes Imperial'!$F$4 &amp; "EC", Imperial_Incremental[#Headers], 0)), 0))</f>
        <v/>
      </c>
      <c r="E736" s="30"/>
      <c r="F736" s="30"/>
      <c r="G736" s="30"/>
      <c r="H736" s="30"/>
      <c r="I736" s="30"/>
      <c r="J736" s="30" t="str">
        <f>IF(B736="","",IF('Cumulative Volumes Imperial'!$AQ$17=FALSE,L736,K736))</f>
        <v/>
      </c>
      <c r="K736" s="30"/>
      <c r="L736" s="30"/>
      <c r="M736" s="30"/>
      <c r="N736" s="30"/>
      <c r="O736" s="30"/>
      <c r="P736" s="30" t="str">
        <f>IF(B736=0,"",(((1/12)*'Imperial Data'!$AC$4*'Imperial Data'!$AC$5)-C736)*$H$6)</f>
        <v/>
      </c>
      <c r="Q736" s="30"/>
      <c r="R736" s="30"/>
      <c r="S736" s="30"/>
      <c r="T736" s="30"/>
      <c r="U736" s="30"/>
      <c r="V736" s="30"/>
      <c r="W736" s="30" t="str">
        <f t="shared" si="78"/>
        <v/>
      </c>
      <c r="X736" s="31"/>
      <c r="Y736" s="30" t="str">
        <f t="shared" si="79"/>
        <v/>
      </c>
    </row>
    <row r="737" spans="2:25" x14ac:dyDescent="0.2">
      <c r="B737" s="34"/>
      <c r="C737" s="30" t="str">
        <f>IF(B737=0,"",IF('Imperial Data'!AG726&gt;=1, INDEX(Imperial_Incremental[], MATCH('Imperial Data'!AG726, Imperial_Incremental[Height], 1), MATCH('Cumulative Volumes Imperial'!$F$4, Imperial_Incremental[#Headers], 0)), 0))</f>
        <v/>
      </c>
      <c r="D737" s="30" t="str">
        <f>IF(B737=0,"",IF('Imperial Data'!AG726&gt;=1, INDEX(Imperial_Incremental[], MATCH('Imperial Data'!AG726, Imperial_Incremental[Height], 1), MATCH('Cumulative Volumes Imperial'!$F$4 &amp; "EC", Imperial_Incremental[#Headers], 0)), 0))</f>
        <v/>
      </c>
      <c r="E737" s="30"/>
      <c r="F737" s="30"/>
      <c r="G737" s="30"/>
      <c r="H737" s="30"/>
      <c r="I737" s="30"/>
      <c r="J737" s="30" t="str">
        <f>IF(B737="","",IF('Cumulative Volumes Imperial'!$AQ$17=FALSE,L737,K737))</f>
        <v/>
      </c>
      <c r="K737" s="30"/>
      <c r="L737" s="30"/>
      <c r="M737" s="30"/>
      <c r="N737" s="30"/>
      <c r="O737" s="30"/>
      <c r="P737" s="30" t="str">
        <f>IF(B737=0,"",(((1/12)*'Imperial Data'!$AC$4*'Imperial Data'!$AC$5)-C737)*$H$6)</f>
        <v/>
      </c>
      <c r="Q737" s="30"/>
      <c r="R737" s="30"/>
      <c r="S737" s="30"/>
      <c r="T737" s="30"/>
      <c r="U737" s="30"/>
      <c r="V737" s="30"/>
      <c r="W737" s="30" t="str">
        <f t="shared" si="78"/>
        <v/>
      </c>
      <c r="X737" s="31"/>
      <c r="Y737" s="30" t="str">
        <f t="shared" si="79"/>
        <v/>
      </c>
    </row>
    <row r="738" spans="2:25" x14ac:dyDescent="0.2">
      <c r="B738" s="34"/>
      <c r="C738" s="30" t="str">
        <f>IF(B738=0,"",IF('Imperial Data'!AG727&gt;=1, INDEX(Imperial_Incremental[], MATCH('Imperial Data'!AG727, Imperial_Incremental[Height], 1), MATCH('Cumulative Volumes Imperial'!$F$4, Imperial_Incremental[#Headers], 0)), 0))</f>
        <v/>
      </c>
      <c r="D738" s="30" t="str">
        <f>IF(B738=0,"",IF('Imperial Data'!AG727&gt;=1, INDEX(Imperial_Incremental[], MATCH('Imperial Data'!AG727, Imperial_Incremental[Height], 1), MATCH('Cumulative Volumes Imperial'!$F$4 &amp; "EC", Imperial_Incremental[#Headers], 0)), 0))</f>
        <v/>
      </c>
      <c r="E738" s="30"/>
      <c r="F738" s="30"/>
      <c r="G738" s="30"/>
      <c r="H738" s="30"/>
      <c r="I738" s="30"/>
      <c r="J738" s="30" t="str">
        <f>IF(B738="","",IF('Cumulative Volumes Imperial'!$AQ$17=FALSE,L738,K738))</f>
        <v/>
      </c>
      <c r="K738" s="30"/>
      <c r="L738" s="30"/>
      <c r="M738" s="30"/>
      <c r="N738" s="30"/>
      <c r="O738" s="30"/>
      <c r="P738" s="30" t="str">
        <f>IF(B738=0,"",(((1/12)*'Imperial Data'!$AC$4*'Imperial Data'!$AC$5)-C738)*$H$6)</f>
        <v/>
      </c>
      <c r="Q738" s="30"/>
      <c r="R738" s="30"/>
      <c r="S738" s="30"/>
      <c r="T738" s="30"/>
      <c r="U738" s="30"/>
      <c r="V738" s="30"/>
      <c r="W738" s="30" t="str">
        <f t="shared" si="78"/>
        <v/>
      </c>
      <c r="X738" s="31"/>
      <c r="Y738" s="30" t="str">
        <f t="shared" si="79"/>
        <v/>
      </c>
    </row>
    <row r="739" spans="2:25" x14ac:dyDescent="0.2">
      <c r="B739" s="34"/>
      <c r="C739" s="30" t="str">
        <f>IF(B739=0,"",IF('Imperial Data'!AG728&gt;=1, INDEX(Imperial_Incremental[], MATCH('Imperial Data'!AG728, Imperial_Incremental[Height], 1), MATCH('Cumulative Volumes Imperial'!$F$4, Imperial_Incremental[#Headers], 0)), 0))</f>
        <v/>
      </c>
      <c r="D739" s="30" t="str">
        <f>IF(B739=0,"",IF('Imperial Data'!AG728&gt;=1, INDEX(Imperial_Incremental[], MATCH('Imperial Data'!AG728, Imperial_Incremental[Height], 1), MATCH('Cumulative Volumes Imperial'!$F$4 &amp; "EC", Imperial_Incremental[#Headers], 0)), 0))</f>
        <v/>
      </c>
      <c r="E739" s="30"/>
      <c r="F739" s="30"/>
      <c r="G739" s="30"/>
      <c r="H739" s="30"/>
      <c r="I739" s="30"/>
      <c r="J739" s="30" t="str">
        <f>IF(B739="","",IF('Cumulative Volumes Imperial'!$AQ$17=FALSE,L739,K739))</f>
        <v/>
      </c>
      <c r="K739" s="30"/>
      <c r="L739" s="30"/>
      <c r="M739" s="30"/>
      <c r="N739" s="30"/>
      <c r="O739" s="30"/>
      <c r="P739" s="30" t="str">
        <f>IF(B739=0,"",(((1/12)*'Imperial Data'!$AC$4*'Imperial Data'!$AC$5)-C739)*$H$6)</f>
        <v/>
      </c>
      <c r="Q739" s="30"/>
      <c r="R739" s="30"/>
      <c r="S739" s="30"/>
      <c r="T739" s="30"/>
      <c r="U739" s="30"/>
      <c r="V739" s="30"/>
      <c r="W739" s="30" t="str">
        <f t="shared" si="78"/>
        <v/>
      </c>
      <c r="X739" s="31"/>
      <c r="Y739" s="30" t="str">
        <f t="shared" si="79"/>
        <v/>
      </c>
    </row>
    <row r="740" spans="2:25" x14ac:dyDescent="0.2">
      <c r="B740" s="34"/>
      <c r="C740" s="30" t="str">
        <f>IF(B740=0,"",IF('Imperial Data'!AG729&gt;=1, INDEX(Imperial_Incremental[], MATCH('Imperial Data'!AG729, Imperial_Incremental[Height], 1), MATCH('Cumulative Volumes Imperial'!$F$4, Imperial_Incremental[#Headers], 0)), 0))</f>
        <v/>
      </c>
      <c r="D740" s="30" t="str">
        <f>IF(B740=0,"",IF('Imperial Data'!AG729&gt;=1, INDEX(Imperial_Incremental[], MATCH('Imperial Data'!AG729, Imperial_Incremental[Height], 1), MATCH('Cumulative Volumes Imperial'!$F$4 &amp; "EC", Imperial_Incremental[#Headers], 0)), 0))</f>
        <v/>
      </c>
      <c r="E740" s="30"/>
      <c r="F740" s="30"/>
      <c r="G740" s="30"/>
      <c r="H740" s="30"/>
      <c r="I740" s="30"/>
      <c r="J740" s="30" t="str">
        <f>IF(B740="","",IF('Cumulative Volumes Imperial'!$AQ$17=FALSE,L740,K740))</f>
        <v/>
      </c>
      <c r="K740" s="30"/>
      <c r="L740" s="30"/>
      <c r="M740" s="30"/>
      <c r="N740" s="30"/>
      <c r="O740" s="30"/>
      <c r="P740" s="30" t="str">
        <f>IF(B740=0,"",(((1/12)*'Imperial Data'!$AC$4*'Imperial Data'!$AC$5)-C740)*$H$6)</f>
        <v/>
      </c>
      <c r="Q740" s="30"/>
      <c r="R740" s="30"/>
      <c r="S740" s="30"/>
      <c r="T740" s="30"/>
      <c r="U740" s="30"/>
      <c r="V740" s="30"/>
      <c r="W740" s="30" t="str">
        <f t="shared" si="78"/>
        <v/>
      </c>
      <c r="X740" s="31"/>
      <c r="Y740" s="30" t="str">
        <f t="shared" si="79"/>
        <v/>
      </c>
    </row>
    <row r="741" spans="2:25" x14ac:dyDescent="0.2">
      <c r="B741" s="34"/>
      <c r="C741" s="30" t="str">
        <f>IF(B741=0,"",IF('Imperial Data'!AG730&gt;=1, INDEX(Imperial_Incremental[], MATCH('Imperial Data'!AG730, Imperial_Incremental[Height], 1), MATCH('Cumulative Volumes Imperial'!$F$4, Imperial_Incremental[#Headers], 0)), 0))</f>
        <v/>
      </c>
      <c r="D741" s="30" t="str">
        <f>IF(B741=0,"",IF('Imperial Data'!AG730&gt;=1, INDEX(Imperial_Incremental[], MATCH('Imperial Data'!AG730, Imperial_Incremental[Height], 1), MATCH('Cumulative Volumes Imperial'!$F$4 &amp; "EC", Imperial_Incremental[#Headers], 0)), 0))</f>
        <v/>
      </c>
      <c r="E741" s="30"/>
      <c r="F741" s="30"/>
      <c r="G741" s="30"/>
      <c r="H741" s="30"/>
      <c r="I741" s="30"/>
      <c r="J741" s="30" t="str">
        <f>IF(B741="","",IF('Cumulative Volumes Imperial'!$AQ$17=FALSE,L741,K741))</f>
        <v/>
      </c>
      <c r="K741" s="30"/>
      <c r="L741" s="30"/>
      <c r="M741" s="30"/>
      <c r="N741" s="30"/>
      <c r="O741" s="30"/>
      <c r="P741" s="30" t="str">
        <f>IF(B741=0,"",(((1/12)*'Imperial Data'!$AC$4*'Imperial Data'!$AC$5)-C741)*$H$6)</f>
        <v/>
      </c>
      <c r="Q741" s="30"/>
      <c r="R741" s="30"/>
      <c r="S741" s="30"/>
      <c r="T741" s="30"/>
      <c r="U741" s="30"/>
      <c r="V741" s="30"/>
      <c r="W741" s="30" t="str">
        <f t="shared" si="78"/>
        <v/>
      </c>
      <c r="X741" s="31"/>
      <c r="Y741" s="30" t="str">
        <f t="shared" si="79"/>
        <v/>
      </c>
    </row>
    <row r="742" spans="2:25" x14ac:dyDescent="0.2">
      <c r="B742" s="34"/>
      <c r="C742" s="30" t="str">
        <f>IF(B742=0,"",IF('Imperial Data'!AG731&gt;=1, INDEX(Imperial_Incremental[], MATCH('Imperial Data'!AG731, Imperial_Incremental[Height], 1), MATCH('Cumulative Volumes Imperial'!$F$4, Imperial_Incremental[#Headers], 0)), 0))</f>
        <v/>
      </c>
      <c r="D742" s="30" t="str">
        <f>IF(B742=0,"",IF('Imperial Data'!AG731&gt;=1, INDEX(Imperial_Incremental[], MATCH('Imperial Data'!AG731, Imperial_Incremental[Height], 1), MATCH('Cumulative Volumes Imperial'!$F$4 &amp; "EC", Imperial_Incremental[#Headers], 0)), 0))</f>
        <v/>
      </c>
      <c r="E742" s="30"/>
      <c r="F742" s="30"/>
      <c r="G742" s="30"/>
      <c r="H742" s="30"/>
      <c r="I742" s="30"/>
      <c r="J742" s="30" t="str">
        <f>IF(B742="","",IF('Cumulative Volumes Imperial'!$AQ$17=FALSE,L742,K742))</f>
        <v/>
      </c>
      <c r="K742" s="30"/>
      <c r="L742" s="30"/>
      <c r="M742" s="30"/>
      <c r="N742" s="30"/>
      <c r="O742" s="30"/>
      <c r="P742" s="30" t="str">
        <f>IF(B742=0,"",(((1/12)*'Imperial Data'!$AC$4*'Imperial Data'!$AC$5)-C742)*$H$6)</f>
        <v/>
      </c>
      <c r="Q742" s="30"/>
      <c r="R742" s="30"/>
      <c r="S742" s="30"/>
      <c r="T742" s="30"/>
      <c r="U742" s="30"/>
      <c r="V742" s="30"/>
      <c r="W742" s="30" t="str">
        <f t="shared" si="78"/>
        <v/>
      </c>
      <c r="X742" s="31"/>
      <c r="Y742" s="30" t="str">
        <f t="shared" si="79"/>
        <v/>
      </c>
    </row>
    <row r="743" spans="2:25" x14ac:dyDescent="0.2">
      <c r="B743" s="34"/>
      <c r="C743" s="30" t="str">
        <f>IF(B743=0,"",IF('Imperial Data'!AG732&gt;=1, INDEX(Imperial_Incremental[], MATCH('Imperial Data'!AG732, Imperial_Incremental[Height], 1), MATCH('Cumulative Volumes Imperial'!$F$4, Imperial_Incremental[#Headers], 0)), 0))</f>
        <v/>
      </c>
      <c r="D743" s="30" t="str">
        <f>IF(B743=0,"",IF('Imperial Data'!AG732&gt;=1, INDEX(Imperial_Incremental[], MATCH('Imperial Data'!AG732, Imperial_Incremental[Height], 1), MATCH('Cumulative Volumes Imperial'!$F$4 &amp; "EC", Imperial_Incremental[#Headers], 0)), 0))</f>
        <v/>
      </c>
      <c r="E743" s="30"/>
      <c r="F743" s="30"/>
      <c r="G743" s="30"/>
      <c r="H743" s="30"/>
      <c r="I743" s="30"/>
      <c r="J743" s="30" t="str">
        <f>IF(B743="","",IF('Cumulative Volumes Imperial'!$AQ$17=FALSE,L743,K743))</f>
        <v/>
      </c>
      <c r="K743" s="30"/>
      <c r="L743" s="30"/>
      <c r="M743" s="30"/>
      <c r="N743" s="30"/>
      <c r="O743" s="30"/>
      <c r="P743" s="30" t="str">
        <f>IF(B743=0,"",(((1/12)*'Imperial Data'!$AC$4*'Imperial Data'!$AC$5)-C743)*$H$6)</f>
        <v/>
      </c>
      <c r="Q743" s="30"/>
      <c r="R743" s="30"/>
      <c r="S743" s="30"/>
      <c r="T743" s="30"/>
      <c r="U743" s="30"/>
      <c r="V743" s="30"/>
      <c r="W743" s="30" t="str">
        <f t="shared" si="78"/>
        <v/>
      </c>
      <c r="X743" s="31"/>
      <c r="Y743" s="30" t="str">
        <f t="shared" si="79"/>
        <v/>
      </c>
    </row>
    <row r="744" spans="2:25" x14ac:dyDescent="0.2">
      <c r="B744" s="34"/>
      <c r="C744" s="30" t="str">
        <f>IF(B744=0,"",IF('Imperial Data'!AG733&gt;=1, INDEX(Imperial_Incremental[], MATCH('Imperial Data'!AG733, Imperial_Incremental[Height], 1), MATCH('Cumulative Volumes Imperial'!$F$4, Imperial_Incremental[#Headers], 0)), 0))</f>
        <v/>
      </c>
      <c r="D744" s="30" t="str">
        <f>IF(B744=0,"",IF('Imperial Data'!AG733&gt;=1, INDEX(Imperial_Incremental[], MATCH('Imperial Data'!AG733, Imperial_Incremental[Height], 1), MATCH('Cumulative Volumes Imperial'!$F$4 &amp; "EC", Imperial_Incremental[#Headers], 0)), 0))</f>
        <v/>
      </c>
      <c r="E744" s="30"/>
      <c r="F744" s="30"/>
      <c r="G744" s="30"/>
      <c r="H744" s="30"/>
      <c r="I744" s="30"/>
      <c r="J744" s="30" t="str">
        <f>IF(B744="","",IF('Cumulative Volumes Imperial'!$AQ$17=FALSE,L744,K744))</f>
        <v/>
      </c>
      <c r="K744" s="30"/>
      <c r="L744" s="30"/>
      <c r="M744" s="30"/>
      <c r="N744" s="30"/>
      <c r="O744" s="30"/>
      <c r="P744" s="30" t="str">
        <f>IF(B744=0,"",(((1/12)*'Imperial Data'!$AC$4*'Imperial Data'!$AC$5)-C744)*$H$6)</f>
        <v/>
      </c>
      <c r="Q744" s="30"/>
      <c r="R744" s="30"/>
      <c r="S744" s="30"/>
      <c r="T744" s="30"/>
      <c r="U744" s="30"/>
      <c r="V744" s="30"/>
      <c r="W744" s="30" t="str">
        <f t="shared" si="78"/>
        <v/>
      </c>
      <c r="X744" s="31"/>
      <c r="Y744" s="30" t="str">
        <f t="shared" si="79"/>
        <v/>
      </c>
    </row>
    <row r="745" spans="2:25" x14ac:dyDescent="0.2">
      <c r="B745" s="34"/>
      <c r="C745" s="30" t="str">
        <f>IF(B745=0,"",IF('Imperial Data'!AG734&gt;=1, INDEX(Imperial_Incremental[], MATCH('Imperial Data'!AG734, Imperial_Incremental[Height], 1), MATCH('Cumulative Volumes Imperial'!$F$4, Imperial_Incremental[#Headers], 0)), 0))</f>
        <v/>
      </c>
      <c r="D745" s="30" t="str">
        <f>IF(B745=0,"",IF('Imperial Data'!AG734&gt;=1, INDEX(Imperial_Incremental[], MATCH('Imperial Data'!AG734, Imperial_Incremental[Height], 1), MATCH('Cumulative Volumes Imperial'!$F$4 &amp; "EC", Imperial_Incremental[#Headers], 0)), 0))</f>
        <v/>
      </c>
      <c r="E745" s="30"/>
      <c r="F745" s="30"/>
      <c r="G745" s="30"/>
      <c r="H745" s="30"/>
      <c r="I745" s="30"/>
      <c r="J745" s="30" t="str">
        <f>IF(B745="","",IF('Cumulative Volumes Imperial'!$AQ$17=FALSE,L745,K745))</f>
        <v/>
      </c>
      <c r="K745" s="30"/>
      <c r="L745" s="30"/>
      <c r="M745" s="30"/>
      <c r="N745" s="30"/>
      <c r="O745" s="30"/>
      <c r="P745" s="30" t="str">
        <f>IF(B745=0,"",(((1/12)*'Imperial Data'!$AC$4*'Imperial Data'!$AC$5)-C745)*$H$6)</f>
        <v/>
      </c>
      <c r="Q745" s="30"/>
      <c r="R745" s="30"/>
      <c r="S745" s="30"/>
      <c r="T745" s="30"/>
      <c r="U745" s="30"/>
      <c r="V745" s="30"/>
      <c r="W745" s="30" t="str">
        <f t="shared" si="78"/>
        <v/>
      </c>
      <c r="X745" s="31"/>
      <c r="Y745" s="30" t="str">
        <f t="shared" si="79"/>
        <v/>
      </c>
    </row>
    <row r="746" spans="2:25" x14ac:dyDescent="0.2">
      <c r="B746" s="34"/>
      <c r="C746" s="30" t="str">
        <f>IF(B746=0,"",IF('Imperial Data'!AG735&gt;=1, INDEX(Imperial_Incremental[], MATCH('Imperial Data'!AG735, Imperial_Incremental[Height], 1), MATCH('Cumulative Volumes Imperial'!$F$4, Imperial_Incremental[#Headers], 0)), 0))</f>
        <v/>
      </c>
      <c r="D746" s="30" t="str">
        <f>IF(B746=0,"",IF('Imperial Data'!AG735&gt;=1, INDEX(Imperial_Incremental[], MATCH('Imperial Data'!AG735, Imperial_Incremental[Height], 1), MATCH('Cumulative Volumes Imperial'!$F$4 &amp; "EC", Imperial_Incremental[#Headers], 0)), 0))</f>
        <v/>
      </c>
      <c r="E746" s="30"/>
      <c r="F746" s="30"/>
      <c r="G746" s="30"/>
      <c r="H746" s="30"/>
      <c r="I746" s="30"/>
      <c r="J746" s="30" t="str">
        <f>IF(B746="","",IF('Cumulative Volumes Imperial'!$AQ$17=FALSE,L746,K746))</f>
        <v/>
      </c>
      <c r="K746" s="30"/>
      <c r="L746" s="30"/>
      <c r="M746" s="30"/>
      <c r="N746" s="30"/>
      <c r="O746" s="30"/>
      <c r="P746" s="30" t="str">
        <f>IF(B746=0,"",(((1/12)*'Imperial Data'!$AC$4*'Imperial Data'!$AC$5)-C746)*$H$6)</f>
        <v/>
      </c>
      <c r="Q746" s="30"/>
      <c r="R746" s="30"/>
      <c r="S746" s="30"/>
      <c r="T746" s="30"/>
      <c r="U746" s="30"/>
      <c r="V746" s="30"/>
      <c r="W746" s="30" t="str">
        <f t="shared" si="78"/>
        <v/>
      </c>
      <c r="X746" s="31"/>
      <c r="Y746" s="30" t="str">
        <f t="shared" si="79"/>
        <v/>
      </c>
    </row>
    <row r="747" spans="2:25" x14ac:dyDescent="0.2">
      <c r="B747" s="34"/>
      <c r="C747" s="30" t="str">
        <f>IF(B747=0,"",IF('Imperial Data'!AG736&gt;=1, INDEX(Imperial_Incremental[], MATCH('Imperial Data'!AG736, Imperial_Incremental[Height], 1), MATCH('Cumulative Volumes Imperial'!$F$4, Imperial_Incremental[#Headers], 0)), 0))</f>
        <v/>
      </c>
      <c r="D747" s="30" t="str">
        <f>IF(B747=0,"",IF('Imperial Data'!AG736&gt;=1, INDEX(Imperial_Incremental[], MATCH('Imperial Data'!AG736, Imperial_Incremental[Height], 1), MATCH('Cumulative Volumes Imperial'!$F$4 &amp; "EC", Imperial_Incremental[#Headers], 0)), 0))</f>
        <v/>
      </c>
      <c r="E747" s="30"/>
      <c r="F747" s="30"/>
      <c r="G747" s="30"/>
      <c r="H747" s="30"/>
      <c r="I747" s="30"/>
      <c r="J747" s="30" t="str">
        <f>IF(B747="","",IF('Cumulative Volumes Imperial'!$AQ$17=FALSE,L747,K747))</f>
        <v/>
      </c>
      <c r="K747" s="30"/>
      <c r="L747" s="30"/>
      <c r="M747" s="30"/>
      <c r="N747" s="30"/>
      <c r="O747" s="30"/>
      <c r="P747" s="30" t="str">
        <f>IF(B747=0,"",(((1/12)*'Imperial Data'!$AC$4*'Imperial Data'!$AC$5)-C747)*$H$6)</f>
        <v/>
      </c>
      <c r="Q747" s="30"/>
      <c r="R747" s="30"/>
      <c r="S747" s="30"/>
      <c r="T747" s="30"/>
      <c r="U747" s="30"/>
      <c r="V747" s="30"/>
      <c r="W747" s="30" t="str">
        <f t="shared" si="78"/>
        <v/>
      </c>
      <c r="X747" s="31"/>
      <c r="Y747" s="30" t="str">
        <f t="shared" si="79"/>
        <v/>
      </c>
    </row>
    <row r="748" spans="2:25" x14ac:dyDescent="0.2">
      <c r="B748" s="34"/>
      <c r="C748" s="30" t="str">
        <f>IF(B748=0,"",IF('Imperial Data'!AG737&gt;=1, INDEX(Imperial_Incremental[], MATCH('Imperial Data'!AG737, Imperial_Incremental[Height], 1), MATCH('Cumulative Volumes Imperial'!$F$4, Imperial_Incremental[#Headers], 0)), 0))</f>
        <v/>
      </c>
      <c r="D748" s="30" t="str">
        <f>IF(B748=0,"",IF('Imperial Data'!AG737&gt;=1, INDEX(Imperial_Incremental[], MATCH('Imperial Data'!AG737, Imperial_Incremental[Height], 1), MATCH('Cumulative Volumes Imperial'!$F$4 &amp; "EC", Imperial_Incremental[#Headers], 0)), 0))</f>
        <v/>
      </c>
      <c r="E748" s="30"/>
      <c r="F748" s="30"/>
      <c r="G748" s="30"/>
      <c r="H748" s="30"/>
      <c r="I748" s="30"/>
      <c r="J748" s="30" t="str">
        <f>IF(B748="","",IF('Cumulative Volumes Imperial'!$AQ$17=FALSE,L748,K748))</f>
        <v/>
      </c>
      <c r="K748" s="30"/>
      <c r="L748" s="30"/>
      <c r="M748" s="30"/>
      <c r="N748" s="30"/>
      <c r="O748" s="30"/>
      <c r="P748" s="30" t="str">
        <f>IF(B748=0,"",(((1/12)*'Imperial Data'!$AC$4*'Imperial Data'!$AC$5)-C748)*$H$6)</f>
        <v/>
      </c>
      <c r="Q748" s="30"/>
      <c r="R748" s="30"/>
      <c r="S748" s="30"/>
      <c r="T748" s="30"/>
      <c r="U748" s="30"/>
      <c r="V748" s="30"/>
      <c r="W748" s="30" t="str">
        <f t="shared" si="78"/>
        <v/>
      </c>
      <c r="X748" s="31"/>
      <c r="Y748" s="30" t="str">
        <f t="shared" si="79"/>
        <v/>
      </c>
    </row>
    <row r="749" spans="2:25" x14ac:dyDescent="0.2">
      <c r="B749" s="34"/>
      <c r="C749" s="30" t="str">
        <f>IF(B749=0,"",IF('Imperial Data'!AG738&gt;=1, INDEX(Imperial_Incremental[], MATCH('Imperial Data'!AG738, Imperial_Incremental[Height], 1), MATCH('Cumulative Volumes Imperial'!$F$4, Imperial_Incremental[#Headers], 0)), 0))</f>
        <v/>
      </c>
      <c r="D749" s="30" t="str">
        <f>IF(B749=0,"",IF('Imperial Data'!AG738&gt;=1, INDEX(Imperial_Incremental[], MATCH('Imperial Data'!AG738, Imperial_Incremental[Height], 1), MATCH('Cumulative Volumes Imperial'!$F$4 &amp; "EC", Imperial_Incremental[#Headers], 0)), 0))</f>
        <v/>
      </c>
      <c r="E749" s="30"/>
      <c r="F749" s="30"/>
      <c r="G749" s="30"/>
      <c r="H749" s="30"/>
      <c r="I749" s="30"/>
      <c r="J749" s="30" t="str">
        <f>IF(B749="","",IF('Cumulative Volumes Imperial'!$AQ$17=FALSE,L749,K749))</f>
        <v/>
      </c>
      <c r="K749" s="30"/>
      <c r="L749" s="30"/>
      <c r="M749" s="30"/>
      <c r="N749" s="30"/>
      <c r="O749" s="30"/>
      <c r="P749" s="30" t="str">
        <f>IF(B749=0,"",(((1/12)*'Imperial Data'!$AC$4*'Imperial Data'!$AC$5)-C749)*$H$6)</f>
        <v/>
      </c>
      <c r="Q749" s="30"/>
      <c r="R749" s="30"/>
      <c r="S749" s="30"/>
      <c r="T749" s="30"/>
      <c r="U749" s="30"/>
      <c r="V749" s="30"/>
      <c r="W749" s="30" t="str">
        <f t="shared" si="78"/>
        <v/>
      </c>
      <c r="X749" s="31"/>
      <c r="Y749" s="30" t="str">
        <f t="shared" si="79"/>
        <v/>
      </c>
    </row>
    <row r="750" spans="2:25" x14ac:dyDescent="0.2">
      <c r="B750" s="34"/>
      <c r="C750" s="30" t="str">
        <f>IF(B750=0,"",IF('Imperial Data'!AG739&gt;=1, INDEX(Imperial_Incremental[], MATCH('Imperial Data'!AG739, Imperial_Incremental[Height], 1), MATCH('Cumulative Volumes Imperial'!$F$4, Imperial_Incremental[#Headers], 0)), 0))</f>
        <v/>
      </c>
      <c r="D750" s="30" t="str">
        <f>IF(B750=0,"",IF('Imperial Data'!AG739&gt;=1, INDEX(Imperial_Incremental[], MATCH('Imperial Data'!AG739, Imperial_Incremental[Height], 1), MATCH('Cumulative Volumes Imperial'!$F$4 &amp; "EC", Imperial_Incremental[#Headers], 0)), 0))</f>
        <v/>
      </c>
      <c r="E750" s="30"/>
      <c r="F750" s="30"/>
      <c r="G750" s="30"/>
      <c r="H750" s="30"/>
      <c r="I750" s="30"/>
      <c r="J750" s="30" t="str">
        <f>IF(B750="","",IF('Cumulative Volumes Imperial'!$AQ$17=FALSE,L750,K750))</f>
        <v/>
      </c>
      <c r="K750" s="30"/>
      <c r="L750" s="30"/>
      <c r="M750" s="30"/>
      <c r="N750" s="30"/>
      <c r="O750" s="30"/>
      <c r="P750" s="30" t="str">
        <f>IF(B750=0,"",(((1/12)*'Imperial Data'!$AC$4*'Imperial Data'!$AC$5)-C750)*$H$6)</f>
        <v/>
      </c>
      <c r="Q750" s="30"/>
      <c r="R750" s="30"/>
      <c r="S750" s="30"/>
      <c r="T750" s="30"/>
      <c r="U750" s="30"/>
      <c r="V750" s="30"/>
      <c r="W750" s="30" t="str">
        <f t="shared" si="78"/>
        <v/>
      </c>
      <c r="X750" s="31"/>
      <c r="Y750" s="30" t="str">
        <f t="shared" si="79"/>
        <v/>
      </c>
    </row>
    <row r="751" spans="2:25" x14ac:dyDescent="0.2">
      <c r="B751" s="34"/>
      <c r="C751" s="30" t="str">
        <f>IF(B751=0,"",IF('Imperial Data'!AG740&gt;=1, INDEX(Imperial_Incremental[], MATCH('Imperial Data'!AG740, Imperial_Incremental[Height], 1), MATCH('Cumulative Volumes Imperial'!$F$4, Imperial_Incremental[#Headers], 0)), 0))</f>
        <v/>
      </c>
      <c r="D751" s="30" t="str">
        <f>IF(B751=0,"",IF('Imperial Data'!AG740&gt;=1, INDEX(Imperial_Incremental[], MATCH('Imperial Data'!AG740, Imperial_Incremental[Height], 1), MATCH('Cumulative Volumes Imperial'!$F$4 &amp; "EC", Imperial_Incremental[#Headers], 0)), 0))</f>
        <v/>
      </c>
      <c r="E751" s="30"/>
      <c r="F751" s="30"/>
      <c r="G751" s="30"/>
      <c r="H751" s="30"/>
      <c r="I751" s="30"/>
      <c r="J751" s="30"/>
      <c r="K751" s="30"/>
      <c r="L751" s="30"/>
      <c r="M751" s="30"/>
      <c r="N751" s="30"/>
      <c r="O751" s="30"/>
      <c r="P751" s="30" t="str">
        <f>IF(B751=0,"",(((1/12)*'Imperial Data'!$AC$4*'Imperial Data'!$AC$5)-C751)*$H$6)</f>
        <v/>
      </c>
      <c r="Q751" s="30"/>
      <c r="R751" s="30"/>
      <c r="S751" s="30"/>
      <c r="T751" s="30"/>
      <c r="U751" s="30"/>
      <c r="V751" s="30"/>
      <c r="W751" s="30" t="str">
        <f t="shared" si="78"/>
        <v/>
      </c>
      <c r="X751" s="31"/>
      <c r="Y751" s="30" t="str">
        <f t="shared" si="79"/>
        <v/>
      </c>
    </row>
    <row r="752" spans="2:25" x14ac:dyDescent="0.2">
      <c r="B752" s="34"/>
      <c r="C752" s="30" t="str">
        <f>IF(B752=0,"",IF('Imperial Data'!AG741&gt;=1, INDEX(Imperial_Incremental[], MATCH('Imperial Data'!AG741, Imperial_Incremental[Height], 1), MATCH('Cumulative Volumes Imperial'!$F$4, Imperial_Incremental[#Headers], 0)), 0))</f>
        <v/>
      </c>
      <c r="D752" s="30" t="str">
        <f>IF(B752=0,"",IF('Imperial Data'!AG741&gt;=1, INDEX(Imperial_Incremental[], MATCH('Imperial Data'!AG741, Imperial_Incremental[Height], 1), MATCH('Cumulative Volumes Imperial'!$F$4 &amp; "EC", Imperial_Incremental[#Headers], 0)), 0))</f>
        <v/>
      </c>
      <c r="E752" s="30"/>
      <c r="F752" s="30"/>
      <c r="G752" s="30"/>
      <c r="H752" s="30"/>
      <c r="I752" s="30"/>
      <c r="J752" s="30"/>
      <c r="K752" s="30"/>
      <c r="L752" s="30"/>
      <c r="M752" s="30"/>
      <c r="N752" s="30"/>
      <c r="O752" s="30"/>
      <c r="P752" s="30" t="str">
        <f>IF(B752=0,"",(((1/12)*'Imperial Data'!$AC$4*'Imperial Data'!$AC$5)-C752)*$H$6)</f>
        <v/>
      </c>
      <c r="Q752" s="30"/>
      <c r="R752" s="30"/>
      <c r="S752" s="30"/>
      <c r="T752" s="30"/>
      <c r="U752" s="30"/>
      <c r="V752" s="30"/>
      <c r="W752" s="30" t="str">
        <f t="shared" si="78"/>
        <v/>
      </c>
      <c r="X752" s="31"/>
      <c r="Y752" s="30" t="str">
        <f t="shared" si="79"/>
        <v/>
      </c>
    </row>
    <row r="753" spans="2:25" x14ac:dyDescent="0.2">
      <c r="B753" s="34"/>
      <c r="C753" s="30"/>
      <c r="D753" s="30"/>
      <c r="E753" s="30"/>
      <c r="F753" s="30"/>
      <c r="G753" s="30"/>
      <c r="H753" s="30"/>
      <c r="I753" s="30"/>
      <c r="J753" s="30"/>
      <c r="K753" s="30"/>
      <c r="L753" s="30"/>
      <c r="M753" s="30"/>
      <c r="N753" s="30"/>
      <c r="O753" s="30"/>
      <c r="P753" s="30" t="str">
        <f>IF(B753=0,"",(((1/12)*'Imperial Data'!$AC$4*'Imperial Data'!$AC$5)-C753)*$H$6)</f>
        <v/>
      </c>
      <c r="Q753" s="30"/>
      <c r="R753" s="30"/>
      <c r="S753" s="30"/>
      <c r="T753" s="30"/>
      <c r="U753" s="30"/>
      <c r="V753" s="30"/>
      <c r="W753" s="30" t="str">
        <f t="shared" si="78"/>
        <v/>
      </c>
      <c r="X753" s="31"/>
      <c r="Y753" s="30" t="str">
        <f t="shared" si="79"/>
        <v/>
      </c>
    </row>
    <row r="754" spans="2:25" x14ac:dyDescent="0.2">
      <c r="B754" s="34"/>
      <c r="C754" s="30"/>
      <c r="D754" s="30"/>
      <c r="E754" s="30"/>
      <c r="F754" s="30"/>
      <c r="G754" s="30"/>
      <c r="H754" s="30"/>
      <c r="I754" s="30"/>
      <c r="J754" s="30"/>
      <c r="K754" s="30"/>
      <c r="L754" s="30"/>
      <c r="M754" s="30"/>
      <c r="N754" s="30"/>
      <c r="O754" s="30"/>
      <c r="P754" s="30" t="str">
        <f>IF(B754=0,"",(((1/12)*'Imperial Data'!$AC$4*'Imperial Data'!$AC$5)-C754)*$H$6)</f>
        <v/>
      </c>
      <c r="Q754" s="30"/>
      <c r="R754" s="30"/>
      <c r="S754" s="30"/>
      <c r="T754" s="30"/>
      <c r="U754" s="30"/>
      <c r="V754" s="30"/>
      <c r="W754" s="30" t="str">
        <f t="shared" si="78"/>
        <v/>
      </c>
      <c r="X754" s="31"/>
      <c r="Y754" s="30" t="str">
        <f t="shared" si="79"/>
        <v/>
      </c>
    </row>
    <row r="755" spans="2:25" x14ac:dyDescent="0.2">
      <c r="B755" s="34"/>
      <c r="C755" s="30"/>
      <c r="D755" s="30"/>
      <c r="E755" s="30"/>
      <c r="F755" s="30"/>
      <c r="G755" s="30"/>
      <c r="H755" s="30"/>
      <c r="I755" s="30"/>
      <c r="J755" s="30"/>
      <c r="K755" s="30"/>
      <c r="L755" s="30"/>
      <c r="M755" s="30"/>
      <c r="N755" s="30"/>
      <c r="O755" s="30"/>
      <c r="P755" s="30" t="str">
        <f>IF(B755=0,"",(((1/12)*'Imperial Data'!$AC$4*'Imperial Data'!$AC$5)-C755)*$H$6)</f>
        <v/>
      </c>
      <c r="Q755" s="30"/>
      <c r="R755" s="30"/>
      <c r="S755" s="30"/>
      <c r="T755" s="30"/>
      <c r="U755" s="30"/>
      <c r="V755" s="30"/>
      <c r="W755" s="30" t="str">
        <f t="shared" si="78"/>
        <v/>
      </c>
      <c r="X755" s="31"/>
      <c r="Y755" s="30" t="str">
        <f t="shared" si="79"/>
        <v/>
      </c>
    </row>
    <row r="756" spans="2:25" x14ac:dyDescent="0.2">
      <c r="B756" s="34"/>
      <c r="C756" s="30"/>
      <c r="D756" s="30"/>
      <c r="E756" s="30"/>
      <c r="F756" s="30"/>
      <c r="G756" s="30"/>
      <c r="H756" s="30"/>
      <c r="I756" s="30"/>
      <c r="J756" s="30"/>
      <c r="K756" s="30"/>
      <c r="L756" s="30"/>
      <c r="M756" s="30"/>
      <c r="N756" s="30"/>
      <c r="O756" s="30"/>
      <c r="P756" s="30" t="str">
        <f>IF(B756=0,"",(((1/12)*'Imperial Data'!$AC$4*'Imperial Data'!$AC$5)-C756)*$H$6)</f>
        <v/>
      </c>
      <c r="Q756" s="30"/>
      <c r="R756" s="30"/>
      <c r="S756" s="30"/>
      <c r="T756" s="30"/>
      <c r="U756" s="30"/>
      <c r="V756" s="30"/>
      <c r="W756" s="30" t="str">
        <f t="shared" si="78"/>
        <v/>
      </c>
      <c r="X756" s="31"/>
      <c r="Y756" s="30" t="str">
        <f t="shared" si="79"/>
        <v/>
      </c>
    </row>
    <row r="757" spans="2:25" x14ac:dyDescent="0.2">
      <c r="B757" s="34"/>
      <c r="C757" s="30"/>
      <c r="D757" s="30"/>
      <c r="E757" s="30"/>
      <c r="F757" s="30"/>
      <c r="G757" s="30"/>
      <c r="H757" s="30"/>
      <c r="I757" s="30"/>
      <c r="J757" s="30"/>
      <c r="K757" s="30"/>
      <c r="L757" s="30"/>
      <c r="M757" s="30"/>
      <c r="N757" s="30"/>
      <c r="O757" s="30"/>
      <c r="P757" s="30" t="str">
        <f>IF(B757=0,"",(((1/12)*'Imperial Data'!$AC$4*'Imperial Data'!$AC$5)-C757)*$H$6)</f>
        <v/>
      </c>
      <c r="Q757" s="30"/>
      <c r="R757" s="30"/>
      <c r="S757" s="30"/>
      <c r="T757" s="30"/>
      <c r="U757" s="30"/>
      <c r="V757" s="30"/>
      <c r="W757" s="30" t="str">
        <f t="shared" si="78"/>
        <v/>
      </c>
      <c r="X757" s="31"/>
      <c r="Y757" s="30" t="str">
        <f t="shared" si="79"/>
        <v/>
      </c>
    </row>
    <row r="758" spans="2:25" x14ac:dyDescent="0.2">
      <c r="B758" s="34"/>
      <c r="C758" s="30"/>
      <c r="D758" s="30"/>
      <c r="E758" s="30"/>
      <c r="F758" s="30"/>
      <c r="G758" s="30"/>
      <c r="H758" s="30"/>
      <c r="I758" s="30"/>
      <c r="J758" s="30"/>
      <c r="K758" s="30"/>
      <c r="L758" s="30"/>
      <c r="M758" s="30"/>
      <c r="N758" s="30"/>
      <c r="O758" s="30"/>
      <c r="P758" s="30" t="str">
        <f>IF(B758=0,"",(((1/12)*'Imperial Data'!$AC$4*'Imperial Data'!$AC$5)-C758)*$H$6)</f>
        <v/>
      </c>
      <c r="Q758" s="30"/>
      <c r="R758" s="30"/>
      <c r="S758" s="30"/>
      <c r="T758" s="30"/>
      <c r="U758" s="30"/>
      <c r="V758" s="30"/>
      <c r="W758" s="30" t="str">
        <f t="shared" si="78"/>
        <v/>
      </c>
      <c r="X758" s="31"/>
      <c r="Y758" s="30" t="str">
        <f t="shared" si="79"/>
        <v/>
      </c>
    </row>
    <row r="759" spans="2:25" x14ac:dyDescent="0.2">
      <c r="B759" s="34"/>
      <c r="C759" s="30"/>
      <c r="D759" s="30"/>
      <c r="E759" s="30"/>
      <c r="F759" s="30"/>
      <c r="G759" s="30"/>
      <c r="H759" s="30"/>
      <c r="I759" s="30"/>
      <c r="J759" s="30"/>
      <c r="K759" s="30"/>
      <c r="L759" s="30"/>
      <c r="M759" s="30"/>
      <c r="N759" s="30"/>
      <c r="O759" s="30"/>
      <c r="P759" s="30" t="str">
        <f>IF(B759=0,"",(((1/12)*'Imperial Data'!$AC$4*'Imperial Data'!$AC$5)-C759)*$H$6)</f>
        <v/>
      </c>
      <c r="Q759" s="30"/>
      <c r="R759" s="30"/>
      <c r="S759" s="30"/>
      <c r="T759" s="30"/>
      <c r="U759" s="30"/>
      <c r="V759" s="30"/>
      <c r="W759" s="30" t="str">
        <f t="shared" si="78"/>
        <v/>
      </c>
      <c r="X759" s="31"/>
      <c r="Y759" s="30" t="str">
        <f t="shared" si="79"/>
        <v/>
      </c>
    </row>
    <row r="760" spans="2:25" x14ac:dyDescent="0.2">
      <c r="B760" s="34"/>
      <c r="C760" s="30"/>
      <c r="D760" s="30"/>
      <c r="E760" s="30"/>
      <c r="F760" s="30"/>
      <c r="G760" s="30"/>
      <c r="H760" s="30"/>
      <c r="I760" s="30"/>
      <c r="J760" s="30"/>
      <c r="K760" s="30"/>
      <c r="L760" s="30"/>
      <c r="M760" s="30"/>
      <c r="N760" s="30"/>
      <c r="O760" s="30"/>
      <c r="P760" s="30" t="str">
        <f>IF(B760=0,"",(((1/12)*'Imperial Data'!$AC$4*'Imperial Data'!$AC$5)-C760)*$H$6)</f>
        <v/>
      </c>
      <c r="Q760" s="30"/>
      <c r="R760" s="30"/>
      <c r="S760" s="30"/>
      <c r="T760" s="30"/>
      <c r="U760" s="30"/>
      <c r="V760" s="30"/>
      <c r="W760" s="30" t="str">
        <f t="shared" si="78"/>
        <v/>
      </c>
      <c r="X760" s="31"/>
      <c r="Y760" s="30" t="str">
        <f t="shared" si="79"/>
        <v/>
      </c>
    </row>
    <row r="761" spans="2:25" x14ac:dyDescent="0.2">
      <c r="B761" s="34"/>
      <c r="C761" s="30"/>
      <c r="D761" s="30"/>
      <c r="E761" s="30"/>
      <c r="F761" s="30"/>
      <c r="G761" s="30"/>
      <c r="H761" s="30"/>
      <c r="I761" s="30"/>
      <c r="J761" s="30"/>
      <c r="K761" s="30"/>
      <c r="L761" s="30"/>
      <c r="M761" s="30"/>
      <c r="N761" s="30"/>
      <c r="O761" s="30"/>
      <c r="P761" s="30"/>
      <c r="Q761" s="30"/>
      <c r="R761" s="30"/>
      <c r="S761" s="30"/>
      <c r="T761" s="30"/>
      <c r="U761" s="30"/>
      <c r="V761" s="30"/>
      <c r="W761" s="30" t="str">
        <f t="shared" si="78"/>
        <v/>
      </c>
      <c r="X761" s="31"/>
      <c r="Y761" s="30" t="str">
        <f t="shared" si="79"/>
        <v/>
      </c>
    </row>
    <row r="762" spans="2:25" x14ac:dyDescent="0.2">
      <c r="B762" s="34"/>
      <c r="C762" s="30"/>
      <c r="D762" s="30"/>
      <c r="E762" s="30"/>
      <c r="F762" s="30"/>
      <c r="G762" s="30"/>
      <c r="H762" s="30"/>
      <c r="I762" s="30"/>
      <c r="J762" s="30"/>
      <c r="K762" s="30"/>
      <c r="L762" s="30"/>
      <c r="M762" s="30"/>
      <c r="N762" s="30"/>
      <c r="O762" s="30"/>
      <c r="P762" s="30"/>
      <c r="Q762" s="30"/>
      <c r="R762" s="30"/>
      <c r="S762" s="30"/>
      <c r="T762" s="30"/>
      <c r="U762" s="30"/>
      <c r="V762" s="30"/>
      <c r="W762" s="30" t="str">
        <f t="shared" si="78"/>
        <v/>
      </c>
      <c r="X762" s="31"/>
      <c r="Y762" s="30" t="str">
        <f t="shared" si="79"/>
        <v/>
      </c>
    </row>
    <row r="763" spans="2:25" x14ac:dyDescent="0.2">
      <c r="B763" s="34"/>
      <c r="C763" s="30"/>
      <c r="D763" s="30"/>
      <c r="E763" s="30"/>
      <c r="F763" s="30"/>
      <c r="G763" s="30"/>
      <c r="H763" s="30"/>
      <c r="I763" s="30"/>
      <c r="J763" s="30"/>
      <c r="K763" s="30"/>
      <c r="L763" s="30"/>
      <c r="M763" s="30"/>
      <c r="N763" s="30"/>
      <c r="O763" s="30"/>
      <c r="P763" s="30"/>
      <c r="Q763" s="30"/>
      <c r="R763" s="30"/>
      <c r="S763" s="30"/>
      <c r="T763" s="30"/>
      <c r="U763" s="30"/>
      <c r="V763" s="30"/>
      <c r="W763" s="30" t="str">
        <f t="shared" si="78"/>
        <v/>
      </c>
      <c r="X763" s="31"/>
      <c r="Y763" s="30" t="str">
        <f t="shared" si="79"/>
        <v/>
      </c>
    </row>
    <row r="764" spans="2:25" x14ac:dyDescent="0.2">
      <c r="B764" s="34"/>
      <c r="C764" s="30"/>
      <c r="D764" s="30"/>
      <c r="E764" s="30"/>
      <c r="F764" s="30"/>
      <c r="G764" s="30"/>
      <c r="H764" s="30"/>
      <c r="I764" s="30"/>
      <c r="J764" s="30"/>
      <c r="K764" s="30"/>
      <c r="L764" s="30"/>
      <c r="M764" s="30"/>
      <c r="N764" s="30"/>
      <c r="O764" s="30"/>
      <c r="P764" s="30"/>
      <c r="Q764" s="30"/>
      <c r="R764" s="30"/>
      <c r="S764" s="30"/>
      <c r="T764" s="30"/>
      <c r="U764" s="30"/>
      <c r="V764" s="30"/>
      <c r="W764" s="30" t="str">
        <f t="shared" si="78"/>
        <v/>
      </c>
      <c r="X764" s="31"/>
      <c r="Y764" s="30" t="str">
        <f t="shared" si="79"/>
        <v/>
      </c>
    </row>
    <row r="765" spans="2:25" x14ac:dyDescent="0.2">
      <c r="B765" s="34"/>
      <c r="C765" s="30"/>
      <c r="D765" s="30"/>
      <c r="E765" s="30"/>
      <c r="F765" s="30"/>
      <c r="G765" s="30"/>
      <c r="H765" s="30"/>
      <c r="I765" s="30"/>
      <c r="J765" s="30"/>
      <c r="K765" s="30"/>
      <c r="L765" s="30"/>
      <c r="M765" s="30"/>
      <c r="N765" s="30"/>
      <c r="O765" s="30"/>
      <c r="P765" s="30"/>
      <c r="Q765" s="30"/>
      <c r="R765" s="30"/>
      <c r="S765" s="30"/>
      <c r="T765" s="30"/>
      <c r="U765" s="30"/>
      <c r="V765" s="30"/>
      <c r="W765" s="30" t="str">
        <f t="shared" si="78"/>
        <v/>
      </c>
      <c r="X765" s="31"/>
      <c r="Y765" s="30" t="str">
        <f t="shared" si="79"/>
        <v/>
      </c>
    </row>
    <row r="766" spans="2:25" x14ac:dyDescent="0.2">
      <c r="B766" s="34"/>
      <c r="C766" s="30"/>
      <c r="D766" s="30"/>
      <c r="E766" s="30"/>
      <c r="F766" s="30"/>
      <c r="G766" s="30"/>
      <c r="H766" s="30"/>
      <c r="I766" s="30"/>
      <c r="J766" s="30"/>
      <c r="K766" s="30"/>
      <c r="L766" s="30"/>
      <c r="M766" s="30"/>
      <c r="N766" s="30"/>
      <c r="O766" s="30"/>
      <c r="P766" s="30"/>
      <c r="Q766" s="30"/>
      <c r="R766" s="30"/>
      <c r="S766" s="30"/>
      <c r="T766" s="30"/>
      <c r="U766" s="30"/>
      <c r="V766" s="30"/>
      <c r="W766" s="30" t="str">
        <f t="shared" si="78"/>
        <v/>
      </c>
      <c r="X766" s="31"/>
      <c r="Y766" s="30" t="str">
        <f t="shared" si="79"/>
        <v/>
      </c>
    </row>
    <row r="767" spans="2:25" x14ac:dyDescent="0.2">
      <c r="B767" s="34"/>
      <c r="C767" s="30"/>
      <c r="D767" s="30"/>
      <c r="E767" s="30"/>
      <c r="F767" s="30"/>
      <c r="G767" s="30"/>
      <c r="H767" s="30"/>
      <c r="I767" s="30"/>
      <c r="J767" s="30"/>
      <c r="K767" s="30"/>
      <c r="L767" s="30"/>
      <c r="M767" s="30"/>
      <c r="N767" s="30"/>
      <c r="O767" s="30"/>
      <c r="P767" s="30"/>
      <c r="Q767" s="30"/>
      <c r="R767" s="30"/>
      <c r="S767" s="30"/>
      <c r="T767" s="30"/>
      <c r="U767" s="30"/>
      <c r="V767" s="30"/>
      <c r="W767" s="30" t="str">
        <f t="shared" si="78"/>
        <v/>
      </c>
      <c r="X767" s="31"/>
      <c r="Y767" s="30"/>
    </row>
    <row r="768" spans="2:25" x14ac:dyDescent="0.2">
      <c r="B768" s="34"/>
      <c r="C768" s="30"/>
      <c r="D768" s="30"/>
      <c r="E768" s="30"/>
      <c r="F768" s="30"/>
      <c r="G768" s="30"/>
      <c r="H768" s="30"/>
      <c r="I768" s="30"/>
      <c r="J768" s="30"/>
      <c r="K768" s="30"/>
      <c r="L768" s="30"/>
      <c r="M768" s="30"/>
      <c r="N768" s="30"/>
      <c r="O768" s="30"/>
      <c r="P768" s="30"/>
      <c r="Q768" s="30"/>
      <c r="R768" s="30"/>
      <c r="S768" s="30"/>
      <c r="T768" s="30"/>
      <c r="U768" s="30"/>
      <c r="V768" s="30"/>
      <c r="W768" s="30" t="str">
        <f t="shared" si="78"/>
        <v/>
      </c>
      <c r="X768" s="31"/>
      <c r="Y768" s="30"/>
    </row>
    <row r="769" spans="2:25" x14ac:dyDescent="0.2">
      <c r="B769" s="34"/>
      <c r="C769" s="30"/>
      <c r="D769" s="30"/>
      <c r="E769" s="30"/>
      <c r="F769" s="30"/>
      <c r="G769" s="30"/>
      <c r="H769" s="30"/>
      <c r="I769" s="30"/>
      <c r="J769" s="30"/>
      <c r="K769" s="30"/>
      <c r="L769" s="30"/>
      <c r="M769" s="30"/>
      <c r="N769" s="30"/>
      <c r="O769" s="30"/>
      <c r="P769" s="30"/>
      <c r="Q769" s="30"/>
      <c r="R769" s="30"/>
      <c r="S769" s="30"/>
      <c r="T769" s="30"/>
      <c r="U769" s="30"/>
      <c r="V769" s="30"/>
      <c r="W769" s="30" t="str">
        <f t="shared" si="78"/>
        <v/>
      </c>
      <c r="X769" s="31"/>
      <c r="Y769" s="30"/>
    </row>
    <row r="770" spans="2:25" x14ac:dyDescent="0.2">
      <c r="B770" s="34"/>
      <c r="C770" s="30"/>
      <c r="D770" s="30"/>
      <c r="E770" s="30"/>
      <c r="F770" s="30"/>
      <c r="G770" s="30"/>
      <c r="H770" s="30"/>
      <c r="I770" s="30"/>
      <c r="J770" s="30"/>
      <c r="K770" s="30"/>
      <c r="L770" s="30"/>
      <c r="M770" s="30"/>
      <c r="N770" s="30"/>
      <c r="O770" s="30"/>
      <c r="P770" s="30"/>
      <c r="Q770" s="30"/>
      <c r="R770" s="30"/>
      <c r="S770" s="30"/>
      <c r="T770" s="30"/>
      <c r="U770" s="30"/>
      <c r="V770" s="30"/>
      <c r="W770" s="30" t="str">
        <f t="shared" si="78"/>
        <v/>
      </c>
      <c r="X770" s="31"/>
      <c r="Y770" s="30"/>
    </row>
  </sheetData>
  <mergeCells count="7">
    <mergeCell ref="B12:Y12"/>
    <mergeCell ref="C2:G2"/>
    <mergeCell ref="F4:F5"/>
    <mergeCell ref="J4:J5"/>
    <mergeCell ref="J9:J10"/>
    <mergeCell ref="B11:C11"/>
    <mergeCell ref="G11:J11"/>
  </mergeCells>
  <conditionalFormatting sqref="E10">
    <cfRule type="expression" dxfId="1" priority="1" stopIfTrue="1">
      <formula>$B$10="Area of system -"</formula>
    </cfRule>
  </conditionalFormatting>
  <dataValidations count="6">
    <dataValidation type="whole" allowBlank="1" showInputMessage="1" showErrorMessage="1" sqref="E6" xr:uid="{5DBBEA10-59EC-4EA9-A168-EDDD31C58BF3}">
      <formula1>I6</formula1>
      <formula2>I7</formula2>
    </dataValidation>
    <dataValidation operator="greaterThanOrEqual" allowBlank="1" showInputMessage="1" showErrorMessage="1" errorTitle="System Area Error" error="The area of the system is not larger than the installed area of the number of chambers and end caps entered above." sqref="E10" xr:uid="{A8CD9DAE-5AC4-440B-907F-E1E0B3064FB4}"/>
    <dataValidation operator="greaterThanOrEqual" allowBlank="1" showInputMessage="1" showErrorMessage="1" errorTitle="Invalid End Cap Count" error="Please enter a value greater than or equal to 1." sqref="E5" xr:uid="{E7BAB332-F2AA-495D-8770-441681E522A7}"/>
    <dataValidation operator="greaterThanOrEqual" allowBlank="1" showInputMessage="1" showErrorMessage="1" errorTitle="Invalid Number of Chambers" error="Please enter a value greater than or equal to 1." sqref="E4" xr:uid="{D5488FDE-FD40-4D78-9C48-DE6ABBBDE330}"/>
    <dataValidation type="whole" errorStyle="warning" allowBlank="1" showInputMessage="1" showErrorMessage="1" errorTitle="StormTech Specification Error:" error="StormTech requires a minimum of 6 inches of stone above the MC-3500 chambers and has a maximum allowable cover over the MC-3500 chambers of 78&quot;. A lower number may be used for modeling purposes." sqref="E8" xr:uid="{003DB338-DAA6-4A99-AD62-2540D48FF784}">
      <formula1>6</formula1>
      <formula2>78</formula2>
    </dataValidation>
    <dataValidation errorStyle="warning" operator="greaterThanOrEqual" allowBlank="1" showErrorMessage="1" errorTitle="Foundation Stone Warning" error="StormTech MC-3500 requires a minimum of 9&quot; of foundation stone (entered as whole number).  You may enter a value lower than this for modeling reasons however the installation specifications must indicate a minimum of 9&quot;. " promptTitle="Foundation Stone Note:" prompt="StormTech Chambers require a minimum of 6&quot; of foundation stone.  Please see the StormTech Design Manual for specific details.   Increments must be input as whole numbers." sqref="E9" xr:uid="{3539CEC6-0E9A-48C3-A1EF-BF2F00A578BF}"/>
  </dataValidations>
  <pageMargins left="0.4" right="0.4" top="0.25" bottom="0.88" header="0.5" footer="0.37"/>
  <pageSetup scale="71" orientation="portrait" r:id="rId1"/>
  <headerFooter alignWithMargins="0">
    <oddFooter>&amp;C&amp;"Arial,Bold"&amp;8Corporate Office&amp;"Arial,Regular"
20 Beaver Road Wethersfield, CT 06109 (888)-892-2694 Fax (866) 328-8401
&amp;R
&amp;P</oddFooter>
  </headerFooter>
  <rowBreaks count="1" manualBreakCount="1">
    <brk id="73" max="16383" man="1"/>
  </rowBreaks>
  <colBreaks count="1" manualBreakCount="1">
    <brk id="2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7697" r:id="rId4" name="Check Box 1">
              <controlPr defaultSize="0" autoFill="0" autoLine="0" autoPict="0">
                <anchor moveWithCells="1">
                  <from>
                    <xdr:col>9</xdr:col>
                    <xdr:colOff>695325</xdr:colOff>
                    <xdr:row>8</xdr:row>
                    <xdr:rowOff>104775</xdr:rowOff>
                  </from>
                  <to>
                    <xdr:col>10</xdr:col>
                    <xdr:colOff>1419225</xdr:colOff>
                    <xdr:row>10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C069B-8034-4B54-BFCE-361B85321C76}">
  <sheetPr codeName="Sheet4">
    <tabColor rgb="FF97D7FF"/>
  </sheetPr>
  <dimension ref="B2:AG1003"/>
  <sheetViews>
    <sheetView workbookViewId="0">
      <selection activeCell="D2" sqref="D2:F2"/>
    </sheetView>
  </sheetViews>
  <sheetFormatPr defaultRowHeight="12.75" x14ac:dyDescent="0.2"/>
  <cols>
    <col min="2" max="2" width="32.7109375" customWidth="1"/>
    <col min="5" max="5" width="12" bestFit="1" customWidth="1"/>
    <col min="6" max="6" width="14.28515625" bestFit="1" customWidth="1"/>
    <col min="7" max="7" width="12" bestFit="1" customWidth="1"/>
    <col min="8" max="8" width="11.85546875" bestFit="1" customWidth="1"/>
    <col min="9" max="9" width="12" bestFit="1" customWidth="1"/>
    <col min="10" max="10" width="11.85546875" bestFit="1" customWidth="1"/>
    <col min="11" max="11" width="11" bestFit="1" customWidth="1"/>
    <col min="12" max="12" width="11.85546875" bestFit="1" customWidth="1"/>
    <col min="13" max="13" width="11" bestFit="1" customWidth="1"/>
    <col min="14" max="14" width="13.140625" bestFit="1" customWidth="1"/>
    <col min="15" max="15" width="11" bestFit="1" customWidth="1"/>
    <col min="16" max="16" width="13.140625" bestFit="1" customWidth="1"/>
    <col min="17" max="17" width="11" bestFit="1" customWidth="1"/>
    <col min="18" max="18" width="13.140625" bestFit="1" customWidth="1"/>
    <col min="19" max="19" width="11" bestFit="1" customWidth="1"/>
    <col min="20" max="20" width="11.85546875" bestFit="1" customWidth="1"/>
    <col min="22" max="22" width="11.5703125" bestFit="1" customWidth="1"/>
    <col min="23" max="23" width="25.85546875" customWidth="1"/>
    <col min="24" max="24" width="8.5703125" bestFit="1" customWidth="1"/>
    <col min="25" max="25" width="9.5703125" bestFit="1" customWidth="1"/>
    <col min="26" max="26" width="11.28515625" bestFit="1" customWidth="1"/>
    <col min="27" max="27" width="16.42578125" bestFit="1" customWidth="1"/>
    <col min="31" max="31" width="13.5703125" bestFit="1" customWidth="1"/>
  </cols>
  <sheetData>
    <row r="2" spans="2:33" x14ac:dyDescent="0.2">
      <c r="B2" t="b" cm="1">
        <f t="array" ref="B2">OR('Cumulative Volumes Imperial'!F4=ImperialEndCapsIncluded[Chambers that include end caps])</f>
        <v>1</v>
      </c>
      <c r="D2" s="98" t="s">
        <v>102</v>
      </c>
      <c r="E2" s="98" t="s">
        <v>100</v>
      </c>
      <c r="F2" s="98" t="s">
        <v>108</v>
      </c>
      <c r="G2" s="98" t="s">
        <v>11</v>
      </c>
      <c r="H2" s="98" t="s">
        <v>109</v>
      </c>
      <c r="I2" s="98" t="s">
        <v>12</v>
      </c>
      <c r="J2" s="98" t="s">
        <v>104</v>
      </c>
      <c r="K2" s="98" t="s">
        <v>13</v>
      </c>
      <c r="L2" s="98" t="s">
        <v>112</v>
      </c>
      <c r="M2" s="98" t="s">
        <v>16</v>
      </c>
      <c r="N2" s="98" t="s">
        <v>105</v>
      </c>
      <c r="O2" s="98" t="s">
        <v>20</v>
      </c>
      <c r="P2" s="98" t="s">
        <v>110</v>
      </c>
      <c r="Q2" s="98" t="s">
        <v>21</v>
      </c>
      <c r="R2" s="98" t="s">
        <v>106</v>
      </c>
      <c r="S2" s="98" t="s">
        <v>101</v>
      </c>
      <c r="T2" s="98" t="s">
        <v>107</v>
      </c>
      <c r="V2" s="98" t="s">
        <v>1</v>
      </c>
      <c r="W2" s="98" t="s">
        <v>102</v>
      </c>
      <c r="X2" s="98" t="s">
        <v>4</v>
      </c>
      <c r="Y2" s="98" t="s">
        <v>5</v>
      </c>
      <c r="AB2" t="s">
        <v>23</v>
      </c>
      <c r="AC2" t="s">
        <v>19</v>
      </c>
      <c r="AE2" s="98" t="s">
        <v>103</v>
      </c>
      <c r="AF2">
        <v>-1</v>
      </c>
      <c r="AG2">
        <v>-1</v>
      </c>
    </row>
    <row r="3" spans="2:33" x14ac:dyDescent="0.2">
      <c r="D3">
        <v>1</v>
      </c>
      <c r="E3">
        <v>5.1218326886574239E-2</v>
      </c>
      <c r="G3">
        <v>5.8801673212417499E-2</v>
      </c>
      <c r="I3">
        <v>5.4995046296296202E-2</v>
      </c>
      <c r="J3" s="124">
        <v>0</v>
      </c>
      <c r="K3">
        <v>5.7888379999994299E-2</v>
      </c>
      <c r="L3" s="124">
        <v>0</v>
      </c>
      <c r="M3">
        <v>5.8085699999992357E-2</v>
      </c>
      <c r="N3">
        <v>0</v>
      </c>
      <c r="O3">
        <v>4.0962449999994988E-2</v>
      </c>
      <c r="P3">
        <v>1.3020879999999124E-2</v>
      </c>
      <c r="Q3">
        <v>5.9375960000011219E-2</v>
      </c>
      <c r="R3">
        <v>1.3020879999999124E-2</v>
      </c>
      <c r="S3">
        <v>7.4461490000000005E-2</v>
      </c>
      <c r="T3">
        <v>4.0104166666666663E-4</v>
      </c>
      <c r="V3" s="106" t="s">
        <v>100</v>
      </c>
      <c r="W3">
        <v>12</v>
      </c>
      <c r="X3">
        <v>25</v>
      </c>
      <c r="Y3">
        <v>85.4</v>
      </c>
      <c r="AA3" s="98" t="s">
        <v>78</v>
      </c>
      <c r="AB3">
        <f>INDEX(ImperialDims[Height], MATCH('Cumulative Volumes Imperial'!$F$4, ImperialDims[Chamber], 0))</f>
        <v>60</v>
      </c>
      <c r="AC3">
        <f>AB3/12</f>
        <v>5</v>
      </c>
      <c r="AE3" s="99">
        <f>'Cumulative Volumes Imperial'!F10</f>
        <v>12</v>
      </c>
      <c r="AF3" s="15">
        <f>IF(AF2&gt;=1,AF2+1,IF(AE3=0,1,-1))</f>
        <v>-1</v>
      </c>
      <c r="AG3" s="15">
        <f>IF(AND(AG2&gt;=1,AG2&lt;$AB$3),AG2+1,IF(AE3=0,1,-1))</f>
        <v>-1</v>
      </c>
    </row>
    <row r="4" spans="2:33" x14ac:dyDescent="0.2">
      <c r="B4" t="s">
        <v>111</v>
      </c>
      <c r="D4">
        <v>2</v>
      </c>
      <c r="E4">
        <v>0.13442440192129634</v>
      </c>
      <c r="G4">
        <v>0.15471293897047655</v>
      </c>
      <c r="I4">
        <v>0.16291944444444401</v>
      </c>
      <c r="J4" s="124">
        <v>0</v>
      </c>
      <c r="K4">
        <v>0.16670214000000527</v>
      </c>
      <c r="L4" s="124">
        <v>0</v>
      </c>
      <c r="M4">
        <v>0.19410059000000501</v>
      </c>
      <c r="N4">
        <v>2.3922396791341782E-2</v>
      </c>
      <c r="O4">
        <v>0.11609683000000359</v>
      </c>
      <c r="P4">
        <v>3.3912879999995482E-2</v>
      </c>
      <c r="Q4">
        <v>0.19017919000000916</v>
      </c>
      <c r="R4">
        <v>3.3912879999995482E-2</v>
      </c>
      <c r="S4">
        <v>0.19675034999999999</v>
      </c>
      <c r="T4">
        <v>3.6093749999999997E-3</v>
      </c>
      <c r="V4" s="97" t="s">
        <v>11</v>
      </c>
      <c r="W4">
        <v>16</v>
      </c>
      <c r="X4">
        <v>37</v>
      </c>
      <c r="Y4">
        <v>85.4</v>
      </c>
      <c r="AA4" t="s">
        <v>5</v>
      </c>
      <c r="AB4">
        <f>INDEX(ImperialDims[Length], MATCH('Cumulative Volumes Imperial'!$F$4, ImperialDims[Chamber], 0))</f>
        <v>79.146000000000001</v>
      </c>
      <c r="AC4">
        <f t="shared" ref="AC4:AC6" si="0">AB4/12</f>
        <v>6.5955000000000004</v>
      </c>
      <c r="AE4" s="99">
        <f>AE3-1</f>
        <v>11</v>
      </c>
      <c r="AF4" s="15">
        <f t="shared" ref="AF4:AF67" si="1">IF(AF3&gt;=1,AF3+1,IF(AE4=0,1,-1))</f>
        <v>-1</v>
      </c>
      <c r="AG4" s="15">
        <f t="shared" ref="AG4:AG67" si="2">IF(AND(AG3&gt;=1,AG3&lt;$AB$3),AG3+1,IF(AE4=0,1,-1))</f>
        <v>-1</v>
      </c>
    </row>
    <row r="5" spans="2:33" x14ac:dyDescent="0.2">
      <c r="B5" t="s">
        <v>12</v>
      </c>
      <c r="D5">
        <v>3</v>
      </c>
      <c r="E5">
        <v>0.2905856335011574</v>
      </c>
      <c r="G5">
        <v>0.26586244321346086</v>
      </c>
      <c r="I5">
        <v>0.28194271296296303</v>
      </c>
      <c r="J5" s="124">
        <v>4.0000000000000036E-3</v>
      </c>
      <c r="K5">
        <v>0.28661422999999786</v>
      </c>
      <c r="L5" s="124">
        <v>4.0000000000000036E-3</v>
      </c>
      <c r="M5">
        <v>0.2939605099999909</v>
      </c>
      <c r="N5">
        <v>3.757633029770524E-2</v>
      </c>
      <c r="O5">
        <v>0.16473426000000302</v>
      </c>
      <c r="P5">
        <v>5.1775609999999972E-2</v>
      </c>
      <c r="Q5">
        <v>0.27517807999998922</v>
      </c>
      <c r="R5">
        <v>5.1775609999999972E-2</v>
      </c>
      <c r="S5">
        <v>0.2853579</v>
      </c>
      <c r="T5">
        <v>6.1493055555555546E-3</v>
      </c>
      <c r="V5" s="97" t="s">
        <v>12</v>
      </c>
      <c r="W5">
        <v>30</v>
      </c>
      <c r="X5">
        <v>57</v>
      </c>
      <c r="Y5">
        <v>85.4</v>
      </c>
      <c r="AA5" t="s">
        <v>4</v>
      </c>
      <c r="AB5">
        <f>INDEX(ImperialDims[Width], MATCH('Cumulative Volumes Imperial'!$F$4, ImperialDims[Chamber], 0))</f>
        <v>109</v>
      </c>
      <c r="AC5">
        <f t="shared" si="0"/>
        <v>9.0833333333333339</v>
      </c>
      <c r="AE5" s="99">
        <f t="shared" ref="AE5:AE68" si="3">AE4-1</f>
        <v>10</v>
      </c>
      <c r="AF5" s="15">
        <f t="shared" si="1"/>
        <v>-1</v>
      </c>
      <c r="AG5" s="15">
        <f t="shared" si="2"/>
        <v>-1</v>
      </c>
    </row>
    <row r="6" spans="2:33" x14ac:dyDescent="0.2">
      <c r="B6" t="s">
        <v>13</v>
      </c>
      <c r="D6">
        <v>4</v>
      </c>
      <c r="E6">
        <v>0.44192637113425981</v>
      </c>
      <c r="G6">
        <v>0.544792189154235</v>
      </c>
      <c r="I6">
        <v>0.60396388888888797</v>
      </c>
      <c r="J6" s="124">
        <v>5.9999999999997833E-3</v>
      </c>
      <c r="K6">
        <v>0.61104845999999924</v>
      </c>
      <c r="L6" s="124">
        <v>5.9999999999997833E-3</v>
      </c>
      <c r="M6">
        <v>0.40364644000000283</v>
      </c>
      <c r="N6">
        <v>5.1545297991870243E-2</v>
      </c>
      <c r="O6">
        <v>0.20872495000000413</v>
      </c>
      <c r="P6">
        <v>6.6000030000004983E-2</v>
      </c>
      <c r="Q6">
        <v>0.35725088000000937</v>
      </c>
      <c r="R6">
        <v>6.6000030000004983E-2</v>
      </c>
      <c r="S6">
        <v>0.50503266000000002</v>
      </c>
      <c r="T6">
        <v>8.6892361111111111E-3</v>
      </c>
      <c r="V6" s="97" t="s">
        <v>13</v>
      </c>
      <c r="W6">
        <v>30</v>
      </c>
      <c r="X6">
        <v>57</v>
      </c>
      <c r="Y6">
        <v>85.4</v>
      </c>
      <c r="AA6" s="98" t="s">
        <v>57</v>
      </c>
      <c r="AB6" s="99">
        <f>AB3+'Cumulative Volumes Imperial'!F10+'Cumulative Volumes Imperial'!F11</f>
        <v>81</v>
      </c>
      <c r="AC6">
        <f t="shared" si="0"/>
        <v>6.75</v>
      </c>
      <c r="AE6" s="99">
        <f t="shared" si="3"/>
        <v>9</v>
      </c>
      <c r="AF6" s="15">
        <f t="shared" si="1"/>
        <v>-1</v>
      </c>
      <c r="AG6" s="15">
        <f t="shared" si="2"/>
        <v>-1</v>
      </c>
    </row>
    <row r="7" spans="2:33" x14ac:dyDescent="0.2">
      <c r="B7" t="s">
        <v>101</v>
      </c>
      <c r="D7">
        <v>5</v>
      </c>
      <c r="E7">
        <v>0.53916079333333311</v>
      </c>
      <c r="G7">
        <v>0.70404294830653302</v>
      </c>
      <c r="I7">
        <v>0.80171296296296291</v>
      </c>
      <c r="J7" s="124">
        <v>1.1000000000000121E-2</v>
      </c>
      <c r="K7">
        <v>0.81039211000000222</v>
      </c>
      <c r="L7" s="124">
        <v>1.1000000000000121E-2</v>
      </c>
      <c r="M7">
        <v>0.68718081000000097</v>
      </c>
      <c r="N7">
        <v>6.7574352721457842E-2</v>
      </c>
      <c r="O7">
        <v>0.26834483999999748</v>
      </c>
      <c r="P7">
        <v>8.3070579999997562E-2</v>
      </c>
      <c r="Q7">
        <v>0.45839793999999756</v>
      </c>
      <c r="R7">
        <v>8.3070579999997562E-2</v>
      </c>
      <c r="S7">
        <v>0.74062623999999999</v>
      </c>
      <c r="T7">
        <v>1.3769097222222221E-2</v>
      </c>
      <c r="V7" s="97" t="s">
        <v>101</v>
      </c>
      <c r="W7">
        <v>33</v>
      </c>
      <c r="X7">
        <v>57</v>
      </c>
      <c r="Y7">
        <v>85.4</v>
      </c>
      <c r="AA7" s="98" t="s">
        <v>116</v>
      </c>
      <c r="AB7">
        <f>INDEX(ImperialECStone[Inches], MATCH('Cumulative Volumes Imperial'!$F$4, ImperialECStone[Chamber], 0))</f>
        <v>44.8</v>
      </c>
      <c r="AC7">
        <f>INDEX(ImperialECStone[Feet], MATCH('Cumulative Volumes Imperial'!$F$4, ImperialECStone[Chamber], 0))</f>
        <v>3.7333333333333329</v>
      </c>
      <c r="AE7" s="99">
        <f t="shared" si="3"/>
        <v>8</v>
      </c>
      <c r="AF7" s="15">
        <f t="shared" si="1"/>
        <v>-1</v>
      </c>
      <c r="AG7" s="15">
        <f t="shared" si="2"/>
        <v>-1</v>
      </c>
    </row>
    <row r="8" spans="2:33" x14ac:dyDescent="0.2">
      <c r="B8" t="s">
        <v>16</v>
      </c>
      <c r="D8">
        <v>6</v>
      </c>
      <c r="E8">
        <v>0.61633757111689835</v>
      </c>
      <c r="G8">
        <v>0.82453055160007405</v>
      </c>
      <c r="I8">
        <v>0.95067129629629621</v>
      </c>
      <c r="J8" s="124">
        <v>1.8999999999999684E-2</v>
      </c>
      <c r="K8">
        <v>0.95905230999999702</v>
      </c>
      <c r="L8" s="124">
        <v>1.8999999999999684E-2</v>
      </c>
      <c r="M8">
        <v>1.0282967600000035</v>
      </c>
      <c r="N8">
        <v>8.8219307861322704E-2</v>
      </c>
      <c r="O8">
        <v>0.45279064000000346</v>
      </c>
      <c r="P8">
        <v>0.10533277999999768</v>
      </c>
      <c r="Q8">
        <v>0.74163876000000073</v>
      </c>
      <c r="R8">
        <v>0.10533277999999768</v>
      </c>
      <c r="S8">
        <v>0.89227597000000003</v>
      </c>
      <c r="T8">
        <v>2.4196180555555554E-2</v>
      </c>
      <c r="V8" s="97" t="s">
        <v>16</v>
      </c>
      <c r="W8">
        <v>45</v>
      </c>
      <c r="X8">
        <v>83</v>
      </c>
      <c r="Y8">
        <v>86</v>
      </c>
      <c r="AE8" s="99">
        <f t="shared" si="3"/>
        <v>7</v>
      </c>
      <c r="AF8" s="15">
        <f t="shared" si="1"/>
        <v>-1</v>
      </c>
      <c r="AG8" s="15">
        <f t="shared" si="2"/>
        <v>-1</v>
      </c>
    </row>
    <row r="9" spans="2:33" x14ac:dyDescent="0.2">
      <c r="B9" t="s">
        <v>20</v>
      </c>
      <c r="D9">
        <v>7</v>
      </c>
      <c r="E9">
        <v>0.68074668413773143</v>
      </c>
      <c r="G9">
        <v>0.92455676778243201</v>
      </c>
      <c r="I9">
        <v>1.0745138888888888</v>
      </c>
      <c r="J9" s="124">
        <v>2.8000000000000025E-2</v>
      </c>
      <c r="K9">
        <v>1.082986830000003</v>
      </c>
      <c r="L9" s="124">
        <v>2.8000000000000025E-2</v>
      </c>
      <c r="M9">
        <v>1.2495265999999958</v>
      </c>
      <c r="N9">
        <v>0.10717236266479091</v>
      </c>
      <c r="O9">
        <v>0.66526068999999666</v>
      </c>
      <c r="P9">
        <v>0.13240399000000025</v>
      </c>
      <c r="Q9">
        <v>1.096373629999988</v>
      </c>
      <c r="R9">
        <v>0.13240399000000025</v>
      </c>
      <c r="S9">
        <v>1.0148668000000001</v>
      </c>
      <c r="T9">
        <v>3.3687499999999995E-2</v>
      </c>
      <c r="V9" s="97" t="s">
        <v>20</v>
      </c>
      <c r="W9">
        <v>60</v>
      </c>
      <c r="X9">
        <v>109</v>
      </c>
      <c r="Y9">
        <v>48.3</v>
      </c>
      <c r="AE9" s="99">
        <f t="shared" si="3"/>
        <v>6</v>
      </c>
      <c r="AF9" s="15">
        <f t="shared" si="1"/>
        <v>-1</v>
      </c>
      <c r="AG9" s="15">
        <f t="shared" si="2"/>
        <v>-1</v>
      </c>
    </row>
    <row r="10" spans="2:33" x14ac:dyDescent="0.2">
      <c r="B10" t="s">
        <v>21</v>
      </c>
      <c r="D10">
        <v>8</v>
      </c>
      <c r="E10">
        <v>0.73587910305555537</v>
      </c>
      <c r="G10">
        <v>1.0149968555808599</v>
      </c>
      <c r="I10">
        <v>1.1804907407407399</v>
      </c>
      <c r="J10" s="124">
        <v>3.7000000000000366E-2</v>
      </c>
      <c r="K10">
        <v>1.1876772399999993</v>
      </c>
      <c r="L10" s="124">
        <v>3.7000000000000366E-2</v>
      </c>
      <c r="M10">
        <v>1.4222271699999993</v>
      </c>
      <c r="N10">
        <v>0.12637399775602276</v>
      </c>
      <c r="O10">
        <v>0.79901545999999257</v>
      </c>
      <c r="P10">
        <v>0.16099102000000443</v>
      </c>
      <c r="Q10">
        <v>1.3184840400000155</v>
      </c>
      <c r="R10">
        <v>0.16099102000000443</v>
      </c>
      <c r="S10">
        <v>1.1201102199999999</v>
      </c>
      <c r="T10">
        <v>4.3312499999999997E-2</v>
      </c>
      <c r="V10" s="106" t="s">
        <v>21</v>
      </c>
      <c r="W10">
        <v>60</v>
      </c>
      <c r="X10">
        <v>109</v>
      </c>
      <c r="Y10">
        <v>79.146000000000001</v>
      </c>
      <c r="AE10" s="99">
        <f t="shared" si="3"/>
        <v>5</v>
      </c>
      <c r="AF10" s="15">
        <f t="shared" si="1"/>
        <v>-1</v>
      </c>
      <c r="AG10" s="15">
        <f t="shared" si="2"/>
        <v>-1</v>
      </c>
    </row>
    <row r="11" spans="2:33" x14ac:dyDescent="0.2">
      <c r="B11" s="98"/>
      <c r="D11">
        <v>9</v>
      </c>
      <c r="E11">
        <v>0.78340154736689804</v>
      </c>
      <c r="G11">
        <v>1.09455321654398</v>
      </c>
      <c r="I11">
        <v>1.2656597222222221</v>
      </c>
      <c r="J11" s="124">
        <v>4.2999999999999705E-2</v>
      </c>
      <c r="K11">
        <v>1.2739665399999964</v>
      </c>
      <c r="L11" s="124">
        <v>4.2999999999999705E-2</v>
      </c>
      <c r="M11">
        <v>1.5731340199999977</v>
      </c>
      <c r="N11">
        <v>0.1444221443129674</v>
      </c>
      <c r="O11">
        <v>0.90812592000000336</v>
      </c>
      <c r="P11">
        <v>0.18868820999999514</v>
      </c>
      <c r="Q11">
        <v>1.4982317199999784</v>
      </c>
      <c r="R11">
        <v>0.18868820999999514</v>
      </c>
      <c r="S11">
        <v>1.2127436300000001</v>
      </c>
      <c r="T11">
        <v>5.2803819444444441E-2</v>
      </c>
      <c r="AE11" s="99">
        <f t="shared" si="3"/>
        <v>4</v>
      </c>
      <c r="AF11" s="15">
        <f t="shared" si="1"/>
        <v>-1</v>
      </c>
      <c r="AG11" s="15">
        <f t="shared" si="2"/>
        <v>-1</v>
      </c>
    </row>
    <row r="12" spans="2:33" x14ac:dyDescent="0.2">
      <c r="D12">
        <v>10</v>
      </c>
      <c r="E12">
        <v>0.82490742581018517</v>
      </c>
      <c r="G12">
        <v>1.1542816257835939</v>
      </c>
      <c r="I12">
        <v>1.355011574074074</v>
      </c>
      <c r="J12" s="124">
        <v>5.500000000000016E-2</v>
      </c>
      <c r="K12">
        <v>1.3640646800000056</v>
      </c>
      <c r="L12" s="124">
        <v>5.500000000000016E-2</v>
      </c>
      <c r="M12">
        <v>1.7071521100000098</v>
      </c>
      <c r="N12">
        <v>0.16284483833279317</v>
      </c>
      <c r="O12">
        <v>1.002904639999997</v>
      </c>
      <c r="P12">
        <v>0.21852530000000314</v>
      </c>
      <c r="Q12">
        <v>1.654489830000017</v>
      </c>
      <c r="R12">
        <v>0.21852530000000314</v>
      </c>
      <c r="S12">
        <v>1.2963369</v>
      </c>
      <c r="T12">
        <v>6.2161458333333329E-2</v>
      </c>
      <c r="AE12" s="99">
        <f t="shared" si="3"/>
        <v>3</v>
      </c>
      <c r="AF12" s="15">
        <f t="shared" si="1"/>
        <v>-1</v>
      </c>
      <c r="AG12" s="15">
        <f t="shared" si="2"/>
        <v>-1</v>
      </c>
    </row>
    <row r="13" spans="2:33" x14ac:dyDescent="0.2">
      <c r="D13">
        <v>11</v>
      </c>
      <c r="E13">
        <v>0.86035166848958311</v>
      </c>
      <c r="G13">
        <v>1.2149394237636899</v>
      </c>
      <c r="I13">
        <v>1.45409953703704</v>
      </c>
      <c r="J13" s="124">
        <v>6.4000000000000057E-2</v>
      </c>
      <c r="K13">
        <v>1.4544043399999964</v>
      </c>
      <c r="L13" s="124">
        <v>6.4000000000000057E-2</v>
      </c>
      <c r="M13">
        <v>1.8284984999999949</v>
      </c>
      <c r="N13">
        <v>0.1816920997978162</v>
      </c>
      <c r="O13">
        <v>1.0873335200000014</v>
      </c>
      <c r="P13">
        <v>0.24693469999999706</v>
      </c>
      <c r="Q13">
        <v>1.7939655600000037</v>
      </c>
      <c r="R13">
        <v>0.24693469999999706</v>
      </c>
      <c r="S13">
        <v>1.37224068</v>
      </c>
      <c r="T13">
        <v>7.0449652777777774E-2</v>
      </c>
      <c r="AE13" s="99">
        <f t="shared" si="3"/>
        <v>2</v>
      </c>
      <c r="AF13" s="15">
        <f t="shared" si="1"/>
        <v>-1</v>
      </c>
      <c r="AG13" s="15">
        <f t="shared" si="2"/>
        <v>-1</v>
      </c>
    </row>
    <row r="14" spans="2:33" x14ac:dyDescent="0.2">
      <c r="D14">
        <v>12</v>
      </c>
      <c r="E14">
        <v>0.89465494189236106</v>
      </c>
      <c r="G14">
        <v>1.2748811997437599</v>
      </c>
      <c r="I14">
        <v>1.52472685185185</v>
      </c>
      <c r="J14" s="124">
        <v>7.2000000000000064E-2</v>
      </c>
      <c r="K14">
        <v>1.5270470000000032</v>
      </c>
      <c r="L14" s="124">
        <v>7.2000000000000064E-2</v>
      </c>
      <c r="M14">
        <v>1.9377688200000023</v>
      </c>
      <c r="N14">
        <v>0.20052329667382907</v>
      </c>
      <c r="O14">
        <v>1.1634821199999976</v>
      </c>
      <c r="P14">
        <v>0.27528255000000001</v>
      </c>
      <c r="Q14">
        <v>1.9196539699999846</v>
      </c>
      <c r="R14">
        <v>0.27528255000000001</v>
      </c>
      <c r="S14">
        <v>1.44159722</v>
      </c>
      <c r="T14">
        <v>7.8069444444444441E-2</v>
      </c>
      <c r="AE14" s="99">
        <f t="shared" si="3"/>
        <v>1</v>
      </c>
      <c r="AF14" s="15">
        <f t="shared" si="1"/>
        <v>-1</v>
      </c>
      <c r="AG14" s="15">
        <f t="shared" si="2"/>
        <v>-1</v>
      </c>
    </row>
    <row r="15" spans="2:33" x14ac:dyDescent="0.2">
      <c r="D15">
        <v>13</v>
      </c>
      <c r="G15">
        <v>1.3245651644641601</v>
      </c>
      <c r="I15">
        <v>1.5823263888888888</v>
      </c>
      <c r="J15" s="124">
        <v>7.9999999999999627E-2</v>
      </c>
      <c r="K15">
        <v>1.5910483899999974</v>
      </c>
      <c r="L15" s="124">
        <v>7.9999999999999627E-2</v>
      </c>
      <c r="M15">
        <v>2.0408230200000048</v>
      </c>
      <c r="N15">
        <v>0.21825949180336934</v>
      </c>
      <c r="O15">
        <v>1.2340102600000051</v>
      </c>
      <c r="P15">
        <v>0.30184331000000242</v>
      </c>
      <c r="Q15">
        <v>2.0374367600000198</v>
      </c>
      <c r="R15">
        <v>0.30184331000000242</v>
      </c>
      <c r="S15">
        <v>1.5056615200000001</v>
      </c>
      <c r="T15">
        <v>8.5822916666666665E-2</v>
      </c>
      <c r="AE15" s="99">
        <f t="shared" si="3"/>
        <v>0</v>
      </c>
      <c r="AF15" s="15">
        <f t="shared" si="1"/>
        <v>1</v>
      </c>
      <c r="AG15" s="15">
        <f t="shared" si="2"/>
        <v>1</v>
      </c>
    </row>
    <row r="16" spans="2:33" x14ac:dyDescent="0.2">
      <c r="D16">
        <v>14</v>
      </c>
      <c r="G16">
        <v>1.36498506000686</v>
      </c>
      <c r="I16">
        <v>1.6422800925925924</v>
      </c>
      <c r="J16" s="124">
        <v>8.9000000000000412E-2</v>
      </c>
      <c r="K16">
        <v>1.6515013799999991</v>
      </c>
      <c r="L16" s="124">
        <v>8.9000000000000412E-2</v>
      </c>
      <c r="M16">
        <v>2.134688060000002</v>
      </c>
      <c r="N16">
        <v>0.23498043633177268</v>
      </c>
      <c r="O16">
        <v>1.2996795499999934</v>
      </c>
      <c r="P16">
        <v>0.32750561000000289</v>
      </c>
      <c r="Q16">
        <v>2.1453267099999778</v>
      </c>
      <c r="R16">
        <v>0.32750561000000289</v>
      </c>
      <c r="S16">
        <v>1.56539345</v>
      </c>
      <c r="T16">
        <v>9.384374999999999E-2</v>
      </c>
      <c r="V16" s="98" t="s">
        <v>113</v>
      </c>
      <c r="W16" s="98" t="s">
        <v>1</v>
      </c>
      <c r="X16" s="98" t="s">
        <v>114</v>
      </c>
      <c r="Y16" s="98" t="s">
        <v>115</v>
      </c>
      <c r="AE16" s="99">
        <f t="shared" si="3"/>
        <v>-1</v>
      </c>
      <c r="AF16" s="15">
        <f t="shared" si="1"/>
        <v>2</v>
      </c>
      <c r="AG16" s="15">
        <f t="shared" si="2"/>
        <v>2</v>
      </c>
    </row>
    <row r="17" spans="4:33" x14ac:dyDescent="0.2">
      <c r="D17">
        <v>15</v>
      </c>
      <c r="G17">
        <v>1.4049972278465299</v>
      </c>
      <c r="I17">
        <v>1.6995138888888888</v>
      </c>
      <c r="J17" s="124">
        <v>8.8999999999999968E-2</v>
      </c>
      <c r="K17">
        <v>1.7088733100000013</v>
      </c>
      <c r="L17" s="124">
        <v>8.8999999999999968E-2</v>
      </c>
      <c r="M17">
        <v>2.2242219099999971</v>
      </c>
      <c r="N17">
        <v>0.25051532329832149</v>
      </c>
      <c r="O17">
        <v>1.3610285300000129</v>
      </c>
      <c r="P17">
        <v>0.35450524999999544</v>
      </c>
      <c r="Q17">
        <v>2.2476975000000152</v>
      </c>
      <c r="R17">
        <v>0.35450524999999544</v>
      </c>
      <c r="S17">
        <v>1.6211392099999999</v>
      </c>
      <c r="T17">
        <v>0.102265625</v>
      </c>
      <c r="V17" t="s">
        <v>79</v>
      </c>
      <c r="W17" s="98" t="s">
        <v>16</v>
      </c>
      <c r="X17">
        <v>28.2</v>
      </c>
      <c r="Y17">
        <f>X17/12</f>
        <v>2.35</v>
      </c>
      <c r="AE17" s="99">
        <f t="shared" si="3"/>
        <v>-2</v>
      </c>
      <c r="AF17" s="15">
        <f t="shared" si="1"/>
        <v>3</v>
      </c>
      <c r="AG17" s="15">
        <f t="shared" si="2"/>
        <v>3</v>
      </c>
    </row>
    <row r="18" spans="4:33" x14ac:dyDescent="0.2">
      <c r="D18">
        <v>16</v>
      </c>
      <c r="G18">
        <v>1.43461756620923</v>
      </c>
      <c r="I18">
        <v>1.7529282407407407</v>
      </c>
      <c r="J18" s="124">
        <v>9.9999999999999867E-2</v>
      </c>
      <c r="K18">
        <v>1.7626082499999995</v>
      </c>
      <c r="L18" s="124">
        <v>9.9999999999999867E-2</v>
      </c>
      <c r="M18">
        <v>2.3067914599999995</v>
      </c>
      <c r="N18">
        <v>0.26557793229914672</v>
      </c>
      <c r="O18">
        <v>1.418714769999994</v>
      </c>
      <c r="P18">
        <v>0.38369900000000001</v>
      </c>
      <c r="Q18">
        <v>2.3431431799999984</v>
      </c>
      <c r="R18">
        <v>0.38369900000000001</v>
      </c>
      <c r="S18">
        <v>1.6733508500000001</v>
      </c>
      <c r="T18">
        <v>0.11015277777777777</v>
      </c>
      <c r="V18" t="s">
        <v>80</v>
      </c>
      <c r="W18" s="98" t="s">
        <v>21</v>
      </c>
      <c r="X18">
        <v>44.8</v>
      </c>
      <c r="Y18">
        <f t="shared" ref="Y18:Y24" si="4">X18/12</f>
        <v>3.7333333333333329</v>
      </c>
      <c r="AE18" s="99">
        <f t="shared" si="3"/>
        <v>-3</v>
      </c>
      <c r="AF18" s="15">
        <f t="shared" si="1"/>
        <v>4</v>
      </c>
      <c r="AG18" s="15">
        <f t="shared" si="2"/>
        <v>4</v>
      </c>
    </row>
    <row r="19" spans="4:33" x14ac:dyDescent="0.2">
      <c r="D19">
        <v>17</v>
      </c>
      <c r="I19">
        <v>1.8028124999999999</v>
      </c>
      <c r="J19" s="124">
        <v>0.10399999999999987</v>
      </c>
      <c r="K19">
        <v>1.8130199299999994</v>
      </c>
      <c r="L19" s="124">
        <v>0.10399999999999987</v>
      </c>
      <c r="M19">
        <v>2.3847699399999982</v>
      </c>
      <c r="N19">
        <v>0.27996637467811958</v>
      </c>
      <c r="O19">
        <v>1.4733269299999989</v>
      </c>
      <c r="P19">
        <v>0.40919427000000042</v>
      </c>
      <c r="Q19">
        <v>2.4334489700000006</v>
      </c>
      <c r="R19">
        <v>0.40919427000000042</v>
      </c>
      <c r="S19">
        <v>1.7224055899999999</v>
      </c>
      <c r="T19">
        <v>0.11750520833333333</v>
      </c>
      <c r="V19" t="s">
        <v>80</v>
      </c>
      <c r="W19" s="98" t="s">
        <v>20</v>
      </c>
      <c r="X19">
        <v>44.8</v>
      </c>
      <c r="Y19">
        <f t="shared" si="4"/>
        <v>3.7333333333333329</v>
      </c>
      <c r="AE19" s="99">
        <f t="shared" si="3"/>
        <v>-4</v>
      </c>
      <c r="AF19" s="15">
        <f t="shared" si="1"/>
        <v>5</v>
      </c>
      <c r="AG19" s="15">
        <f t="shared" si="2"/>
        <v>5</v>
      </c>
    </row>
    <row r="20" spans="4:33" x14ac:dyDescent="0.2">
      <c r="D20">
        <v>18</v>
      </c>
      <c r="I20">
        <v>1.85499960185185</v>
      </c>
      <c r="J20" s="124">
        <v>0.1140000000000001</v>
      </c>
      <c r="K20">
        <v>1.8602302000000002</v>
      </c>
      <c r="L20" s="124">
        <v>0.1140000000000001</v>
      </c>
      <c r="M20">
        <v>2.4590943000000038</v>
      </c>
      <c r="N20">
        <v>0.29393984335605516</v>
      </c>
      <c r="O20">
        <v>1.5251517399999983</v>
      </c>
      <c r="P20">
        <v>0.44088044000000082</v>
      </c>
      <c r="Q20">
        <v>2.5190624100000036</v>
      </c>
      <c r="R20">
        <v>0.44088044000000082</v>
      </c>
      <c r="S20">
        <v>1.7685614700000001</v>
      </c>
      <c r="T20">
        <v>0.123921875</v>
      </c>
      <c r="W20" s="98" t="s">
        <v>100</v>
      </c>
      <c r="X20">
        <v>0</v>
      </c>
      <c r="Y20">
        <f t="shared" si="4"/>
        <v>0</v>
      </c>
      <c r="AE20" s="99">
        <f t="shared" si="3"/>
        <v>-5</v>
      </c>
      <c r="AF20" s="15">
        <f t="shared" si="1"/>
        <v>6</v>
      </c>
      <c r="AG20" s="15">
        <f t="shared" si="2"/>
        <v>6</v>
      </c>
    </row>
    <row r="21" spans="4:33" x14ac:dyDescent="0.2">
      <c r="D21">
        <v>19</v>
      </c>
      <c r="I21">
        <v>1.8930902777777776</v>
      </c>
      <c r="J21" s="124">
        <v>0.121</v>
      </c>
      <c r="K21">
        <v>1.9045716100000014</v>
      </c>
      <c r="L21" s="124">
        <v>0.121</v>
      </c>
      <c r="M21">
        <v>2.5281719399999929</v>
      </c>
      <c r="N21">
        <v>0.30786248654241177</v>
      </c>
      <c r="O21">
        <v>1.5744898199999966</v>
      </c>
      <c r="P21">
        <v>0.46878259999999727</v>
      </c>
      <c r="Q21">
        <v>2.6005697500000053</v>
      </c>
      <c r="R21">
        <v>0.46878259999999727</v>
      </c>
      <c r="S21">
        <v>1.8120377999999999</v>
      </c>
      <c r="T21">
        <v>0.12833333333333333</v>
      </c>
      <c r="W21" t="s">
        <v>11</v>
      </c>
      <c r="X21">
        <v>0</v>
      </c>
      <c r="Y21">
        <f t="shared" si="4"/>
        <v>0</v>
      </c>
      <c r="AE21" s="99">
        <f t="shared" si="3"/>
        <v>-6</v>
      </c>
      <c r="AF21" s="15">
        <f t="shared" si="1"/>
        <v>7</v>
      </c>
      <c r="AG21" s="15">
        <f t="shared" si="2"/>
        <v>7</v>
      </c>
    </row>
    <row r="22" spans="4:33" x14ac:dyDescent="0.2">
      <c r="D22">
        <v>20</v>
      </c>
      <c r="I22">
        <v>1.9340046296296296</v>
      </c>
      <c r="J22" s="124">
        <v>0.1140000000000001</v>
      </c>
      <c r="K22">
        <v>1.9461516599999982</v>
      </c>
      <c r="L22" s="124">
        <v>0.1140000000000001</v>
      </c>
      <c r="M22">
        <v>2.5937439599999976</v>
      </c>
      <c r="N22">
        <v>0.32117623919447347</v>
      </c>
      <c r="O22">
        <v>1.6213883799999991</v>
      </c>
      <c r="P22">
        <v>0.49523986000000519</v>
      </c>
      <c r="Q22">
        <v>2.6784145099999819</v>
      </c>
      <c r="R22">
        <v>0.49523986000000519</v>
      </c>
      <c r="S22">
        <v>1.8530588400000001</v>
      </c>
      <c r="T22">
        <v>0.13635416666666667</v>
      </c>
      <c r="V22" s="98" t="s">
        <v>80</v>
      </c>
      <c r="W22" t="s">
        <v>12</v>
      </c>
      <c r="X22">
        <f>9.65+12</f>
        <v>21.65</v>
      </c>
      <c r="Y22">
        <f t="shared" si="4"/>
        <v>1.8041666666666665</v>
      </c>
      <c r="AE22" s="99">
        <f t="shared" si="3"/>
        <v>-7</v>
      </c>
      <c r="AF22" s="15">
        <f t="shared" si="1"/>
        <v>8</v>
      </c>
      <c r="AG22" s="15">
        <f t="shared" si="2"/>
        <v>8</v>
      </c>
    </row>
    <row r="23" spans="4:33" x14ac:dyDescent="0.2">
      <c r="D23">
        <v>21</v>
      </c>
      <c r="I23">
        <v>1.9749990740740699</v>
      </c>
      <c r="J23" s="124">
        <v>0.1339999999999999</v>
      </c>
      <c r="K23">
        <v>1.9852344200000012</v>
      </c>
      <c r="L23" s="124">
        <v>0.1339999999999999</v>
      </c>
      <c r="M23">
        <v>2.6560573699999992</v>
      </c>
      <c r="N23">
        <v>0.33444667854241139</v>
      </c>
      <c r="O23">
        <v>1.6662282900000065</v>
      </c>
      <c r="P23">
        <v>0.52068376999999799</v>
      </c>
      <c r="Q23">
        <v>2.7525687300000072</v>
      </c>
      <c r="R23">
        <v>0.52068376999999799</v>
      </c>
      <c r="S23">
        <v>1.8917860799999999</v>
      </c>
      <c r="T23">
        <v>0.14303819444444443</v>
      </c>
      <c r="V23" s="98" t="s">
        <v>80</v>
      </c>
      <c r="W23" t="s">
        <v>13</v>
      </c>
      <c r="X23">
        <f>9.65+12</f>
        <v>21.65</v>
      </c>
      <c r="Y23">
        <f t="shared" si="4"/>
        <v>1.8041666666666665</v>
      </c>
      <c r="AE23" s="99">
        <f t="shared" si="3"/>
        <v>-8</v>
      </c>
      <c r="AF23" s="15">
        <f t="shared" si="1"/>
        <v>9</v>
      </c>
      <c r="AG23" s="15">
        <f t="shared" si="2"/>
        <v>9</v>
      </c>
    </row>
    <row r="24" spans="4:33" x14ac:dyDescent="0.2">
      <c r="D24">
        <v>22</v>
      </c>
      <c r="I24">
        <v>2.00992083333333</v>
      </c>
      <c r="J24" s="124">
        <v>0.13900000000000001</v>
      </c>
      <c r="K24">
        <v>2.0219081299999999</v>
      </c>
      <c r="L24" s="124">
        <v>0.13900000000000001</v>
      </c>
      <c r="M24">
        <v>2.7151046100000116</v>
      </c>
      <c r="N24">
        <v>0.34699945547017386</v>
      </c>
      <c r="O24">
        <v>1.7091098399999964</v>
      </c>
      <c r="P24">
        <v>0.54445281999999651</v>
      </c>
      <c r="Q24">
        <v>2.8234385599999996</v>
      </c>
      <c r="R24">
        <v>0.54445281999999651</v>
      </c>
      <c r="S24">
        <v>1.9283689100000001</v>
      </c>
      <c r="T24">
        <v>0.14504340277777775</v>
      </c>
      <c r="V24" s="98" t="s">
        <v>80</v>
      </c>
      <c r="W24" t="s">
        <v>101</v>
      </c>
      <c r="X24">
        <f>10.56+12</f>
        <v>22.560000000000002</v>
      </c>
      <c r="Y24">
        <f t="shared" si="4"/>
        <v>1.8800000000000001</v>
      </c>
      <c r="AE24" s="99">
        <f t="shared" si="3"/>
        <v>-9</v>
      </c>
      <c r="AF24" s="15">
        <f t="shared" si="1"/>
        <v>10</v>
      </c>
      <c r="AG24" s="15">
        <f t="shared" si="2"/>
        <v>10</v>
      </c>
    </row>
    <row r="25" spans="4:33" x14ac:dyDescent="0.2">
      <c r="D25">
        <v>23</v>
      </c>
      <c r="I25">
        <v>2.0449912037037001</v>
      </c>
      <c r="J25" s="124">
        <v>0.14500000000000002</v>
      </c>
      <c r="K25">
        <v>2.0562843900000001</v>
      </c>
      <c r="L25" s="124">
        <v>0.14500000000000002</v>
      </c>
      <c r="M25">
        <v>2.771289479999993</v>
      </c>
      <c r="N25">
        <v>0.35998822525973218</v>
      </c>
      <c r="O25">
        <v>1.7500877000000088</v>
      </c>
      <c r="P25">
        <v>0.56677041000000372</v>
      </c>
      <c r="Q25">
        <v>2.8914099700000122</v>
      </c>
      <c r="R25">
        <v>0.56677041000000372</v>
      </c>
      <c r="S25">
        <v>1.9629659399999999</v>
      </c>
      <c r="T25">
        <v>0.14905381944444446</v>
      </c>
      <c r="AE25" s="99">
        <f t="shared" si="3"/>
        <v>-10</v>
      </c>
      <c r="AF25" s="15">
        <f t="shared" si="1"/>
        <v>11</v>
      </c>
      <c r="AG25" s="15">
        <f t="shared" si="2"/>
        <v>11</v>
      </c>
    </row>
    <row r="26" spans="4:33" x14ac:dyDescent="0.2">
      <c r="D26">
        <v>24</v>
      </c>
      <c r="I26">
        <v>2.0749620370370399</v>
      </c>
      <c r="J26" s="124">
        <v>0.15099999999999991</v>
      </c>
      <c r="K26">
        <v>2.088473239999999</v>
      </c>
      <c r="L26" s="124">
        <v>0.15099999999999991</v>
      </c>
      <c r="M26">
        <v>2.8246516699999944</v>
      </c>
      <c r="N26">
        <v>0.37229303892519638</v>
      </c>
      <c r="O26">
        <v>1.7892962699999941</v>
      </c>
      <c r="P26">
        <v>0.58851943999999889</v>
      </c>
      <c r="Q26">
        <v>2.9563583899999912</v>
      </c>
      <c r="R26">
        <v>0.58851943999999889</v>
      </c>
      <c r="S26">
        <v>1.9956741</v>
      </c>
      <c r="T26">
        <v>0.15600520833333334</v>
      </c>
      <c r="AE26" s="99">
        <f t="shared" si="3"/>
        <v>-11</v>
      </c>
      <c r="AF26" s="15">
        <f t="shared" si="1"/>
        <v>12</v>
      </c>
      <c r="AG26" s="15">
        <f t="shared" si="2"/>
        <v>12</v>
      </c>
    </row>
    <row r="27" spans="4:33" x14ac:dyDescent="0.2">
      <c r="D27">
        <v>25</v>
      </c>
      <c r="I27">
        <v>2.1049129629629602</v>
      </c>
      <c r="J27" s="124">
        <v>0.14800000000000002</v>
      </c>
      <c r="K27">
        <v>2.1185423200000013</v>
      </c>
      <c r="L27" s="124">
        <v>0.14800000000000002</v>
      </c>
      <c r="M27">
        <v>2.8754577000000126</v>
      </c>
      <c r="N27">
        <v>0.38431062954851392</v>
      </c>
      <c r="O27">
        <v>1.8271945200000062</v>
      </c>
      <c r="P27">
        <v>0.61002204000000049</v>
      </c>
      <c r="Q27">
        <v>3.018770939999996</v>
      </c>
      <c r="R27">
        <v>0.61002204000000049</v>
      </c>
      <c r="S27">
        <v>2.0266144000000001</v>
      </c>
      <c r="T27">
        <v>0.16362499999999999</v>
      </c>
      <c r="AE27" s="99">
        <f t="shared" si="3"/>
        <v>-12</v>
      </c>
      <c r="AF27" s="15">
        <f t="shared" si="1"/>
        <v>13</v>
      </c>
      <c r="AG27" s="15">
        <f t="shared" si="2"/>
        <v>13</v>
      </c>
    </row>
    <row r="28" spans="4:33" x14ac:dyDescent="0.2">
      <c r="D28">
        <v>26</v>
      </c>
      <c r="I28">
        <v>2.1317962962963</v>
      </c>
      <c r="J28" s="124">
        <v>0.16100000000000003</v>
      </c>
      <c r="K28">
        <v>2.1466011499999986</v>
      </c>
      <c r="L28" s="124">
        <v>0.16100000000000003</v>
      </c>
      <c r="M28">
        <v>2.9241365699999946</v>
      </c>
      <c r="N28">
        <v>0.396053852870347</v>
      </c>
      <c r="O28">
        <v>1.8634398099999885</v>
      </c>
      <c r="P28">
        <v>0.63213495000000108</v>
      </c>
      <c r="Q28">
        <v>3.0786373800000035</v>
      </c>
      <c r="R28">
        <v>0.63213495000000108</v>
      </c>
      <c r="S28">
        <v>2.0558676899999999</v>
      </c>
      <c r="T28">
        <v>0.16763541666666665</v>
      </c>
      <c r="AE28" s="99">
        <f t="shared" si="3"/>
        <v>-13</v>
      </c>
      <c r="AF28" s="15">
        <f t="shared" si="1"/>
        <v>14</v>
      </c>
      <c r="AG28" s="15">
        <f t="shared" si="2"/>
        <v>14</v>
      </c>
    </row>
    <row r="29" spans="4:33" x14ac:dyDescent="0.2">
      <c r="D29">
        <v>27</v>
      </c>
      <c r="I29">
        <v>2.1538541666666666</v>
      </c>
      <c r="J29" s="124">
        <v>0.16599999999999998</v>
      </c>
      <c r="K29">
        <v>2.1726843600000008</v>
      </c>
      <c r="L29" s="124">
        <v>0.16599999999999998</v>
      </c>
      <c r="M29">
        <v>2.9698882100000006</v>
      </c>
      <c r="N29">
        <v>0.40757936117621441</v>
      </c>
      <c r="O29">
        <v>1.8983242100000126</v>
      </c>
      <c r="P29">
        <v>0.64308889999999863</v>
      </c>
      <c r="Q29">
        <v>3.1362803099999894</v>
      </c>
      <c r="R29">
        <v>0.64308889999999863</v>
      </c>
      <c r="S29">
        <v>2.0835110600000002</v>
      </c>
      <c r="T29">
        <v>0.17124479166666665</v>
      </c>
      <c r="AE29" s="99">
        <f t="shared" si="3"/>
        <v>-14</v>
      </c>
      <c r="AF29" s="15">
        <f t="shared" si="1"/>
        <v>15</v>
      </c>
      <c r="AG29" s="15">
        <f t="shared" si="2"/>
        <v>15</v>
      </c>
    </row>
    <row r="30" spans="4:33" x14ac:dyDescent="0.2">
      <c r="D30">
        <v>28</v>
      </c>
      <c r="I30">
        <v>2.1770601851851854</v>
      </c>
      <c r="J30" s="124">
        <v>0.17000000000000004</v>
      </c>
      <c r="K30">
        <v>2.1968599800000002</v>
      </c>
      <c r="L30" s="124">
        <v>0.17000000000000004</v>
      </c>
      <c r="M30">
        <v>3.0124501099999961</v>
      </c>
      <c r="N30">
        <v>0.41869505205993462</v>
      </c>
      <c r="O30">
        <v>1.9318375499999973</v>
      </c>
      <c r="P30">
        <v>0.67730135000000047</v>
      </c>
      <c r="Q30">
        <v>3.1917693700000029</v>
      </c>
      <c r="R30">
        <v>0.67730135000000047</v>
      </c>
      <c r="S30">
        <v>2.10964616</v>
      </c>
      <c r="T30">
        <v>0.17552256944444442</v>
      </c>
      <c r="V30" s="98" t="s">
        <v>1</v>
      </c>
      <c r="W30" s="98" t="s">
        <v>123</v>
      </c>
      <c r="X30" s="98" t="s">
        <v>124</v>
      </c>
      <c r="AE30" s="99">
        <f t="shared" si="3"/>
        <v>-15</v>
      </c>
      <c r="AF30" s="15">
        <f t="shared" si="1"/>
        <v>16</v>
      </c>
      <c r="AG30" s="15">
        <f t="shared" si="2"/>
        <v>16</v>
      </c>
    </row>
    <row r="31" spans="4:33" x14ac:dyDescent="0.2">
      <c r="D31">
        <v>29</v>
      </c>
      <c r="I31">
        <v>2.1983564814814818</v>
      </c>
      <c r="J31" s="124">
        <v>0.17499999999999999</v>
      </c>
      <c r="K31">
        <v>2.2191953499999997</v>
      </c>
      <c r="L31" s="124">
        <v>0.17499999999999999</v>
      </c>
      <c r="M31">
        <v>3.0532582000000019</v>
      </c>
      <c r="N31">
        <v>0.42965597844233194</v>
      </c>
      <c r="O31">
        <v>1.9640817800000008</v>
      </c>
      <c r="P31">
        <v>0.69982942000000037</v>
      </c>
      <c r="Q31">
        <v>3.2450176300000066</v>
      </c>
      <c r="R31">
        <v>0.69982942000000037</v>
      </c>
      <c r="S31">
        <v>2.1343165200000001</v>
      </c>
      <c r="T31">
        <v>0.17324999999999999</v>
      </c>
      <c r="V31" t="s">
        <v>100</v>
      </c>
      <c r="W31">
        <v>4</v>
      </c>
      <c r="X31" t="b">
        <f>'Cumulative Volumes Imperial'!$F$11&lt;'Imperial Data'!W31</f>
        <v>0</v>
      </c>
      <c r="AE31" s="99">
        <f t="shared" si="3"/>
        <v>-16</v>
      </c>
      <c r="AF31" s="15">
        <f t="shared" si="1"/>
        <v>17</v>
      </c>
      <c r="AG31" s="15">
        <f t="shared" si="2"/>
        <v>17</v>
      </c>
    </row>
    <row r="32" spans="4:33" x14ac:dyDescent="0.2">
      <c r="D32">
        <v>30</v>
      </c>
      <c r="I32">
        <v>2.2073263888888888</v>
      </c>
      <c r="J32" s="124">
        <v>0.11600000000000001</v>
      </c>
      <c r="K32">
        <v>2.2426628700000002</v>
      </c>
      <c r="L32" s="124">
        <v>0.11600000000000001</v>
      </c>
      <c r="M32">
        <v>3.0942745899999977</v>
      </c>
      <c r="N32">
        <v>0.44040718181102356</v>
      </c>
      <c r="O32">
        <v>1.9951177999999885</v>
      </c>
      <c r="P32">
        <v>0.7224001400000013</v>
      </c>
      <c r="Q32">
        <v>3.2963179599999961</v>
      </c>
      <c r="R32">
        <v>0.7224001400000013</v>
      </c>
      <c r="S32">
        <v>2.1575918399999998</v>
      </c>
      <c r="T32">
        <v>0.18153819444444444</v>
      </c>
      <c r="V32" t="s">
        <v>11</v>
      </c>
      <c r="W32">
        <v>6</v>
      </c>
      <c r="X32" t="b">
        <f>'Cumulative Volumes Imperial'!$F$11&lt;'Imperial Data'!W32</f>
        <v>0</v>
      </c>
      <c r="AE32" s="99">
        <f t="shared" si="3"/>
        <v>-17</v>
      </c>
      <c r="AF32" s="15">
        <f t="shared" si="1"/>
        <v>18</v>
      </c>
      <c r="AG32" s="15">
        <f t="shared" si="2"/>
        <v>18</v>
      </c>
    </row>
    <row r="33" spans="4:33" x14ac:dyDescent="0.2">
      <c r="D33">
        <v>31</v>
      </c>
      <c r="M33">
        <v>3.1305567100000005</v>
      </c>
      <c r="N33">
        <v>0.45081818643189298</v>
      </c>
      <c r="O33">
        <v>2.0250071600000012</v>
      </c>
      <c r="P33">
        <v>0.74372710999999825</v>
      </c>
      <c r="Q33">
        <v>3.3456159200000002</v>
      </c>
      <c r="R33">
        <v>0.74372710999999825</v>
      </c>
      <c r="S33">
        <v>2.17952967</v>
      </c>
      <c r="T33">
        <v>0.18354340277777775</v>
      </c>
      <c r="V33" t="s">
        <v>12</v>
      </c>
      <c r="W33">
        <v>6</v>
      </c>
      <c r="X33" t="b">
        <f>'Cumulative Volumes Imperial'!$F$11&lt;'Imperial Data'!W33</f>
        <v>0</v>
      </c>
      <c r="AE33" s="99">
        <f t="shared" si="3"/>
        <v>-18</v>
      </c>
      <c r="AF33" s="15">
        <f t="shared" si="1"/>
        <v>19</v>
      </c>
      <c r="AG33" s="15">
        <f t="shared" si="2"/>
        <v>19</v>
      </c>
    </row>
    <row r="34" spans="4:33" x14ac:dyDescent="0.2">
      <c r="D34">
        <v>32</v>
      </c>
      <c r="M34">
        <v>3.165662250000004</v>
      </c>
      <c r="N34">
        <v>0.46086132060372798</v>
      </c>
      <c r="O34">
        <v>2.0537869099999995</v>
      </c>
      <c r="P34">
        <v>0.76446604999999934</v>
      </c>
      <c r="Q34">
        <v>3.3931099800000055</v>
      </c>
      <c r="R34">
        <v>0.76446604999999934</v>
      </c>
      <c r="S34">
        <v>2.2001904900000002</v>
      </c>
      <c r="T34">
        <v>0.18581597222222218</v>
      </c>
      <c r="V34" t="s">
        <v>13</v>
      </c>
      <c r="W34">
        <v>9</v>
      </c>
      <c r="X34" t="b">
        <f>'Cumulative Volumes Imperial'!$F$11&lt;'Imperial Data'!W34</f>
        <v>0</v>
      </c>
      <c r="AE34" s="99">
        <f t="shared" si="3"/>
        <v>-19</v>
      </c>
      <c r="AF34" s="15">
        <f t="shared" si="1"/>
        <v>20</v>
      </c>
      <c r="AG34" s="15">
        <f t="shared" si="2"/>
        <v>20</v>
      </c>
    </row>
    <row r="35" spans="4:33" x14ac:dyDescent="0.2">
      <c r="D35">
        <v>33</v>
      </c>
      <c r="M35">
        <v>3.1994532499999977</v>
      </c>
      <c r="N35">
        <v>0.47063557618932172</v>
      </c>
      <c r="O35">
        <v>2.0814983800000064</v>
      </c>
      <c r="P35">
        <v>0.7855190400000005</v>
      </c>
      <c r="Q35">
        <v>3.4388515200000001</v>
      </c>
      <c r="R35">
        <v>0.7855190400000005</v>
      </c>
      <c r="S35">
        <v>2.22277368</v>
      </c>
      <c r="T35">
        <v>0.13221006944444444</v>
      </c>
      <c r="V35" t="s">
        <v>101</v>
      </c>
      <c r="W35">
        <v>6</v>
      </c>
      <c r="X35" t="b">
        <f>'Cumulative Volumes Imperial'!$F$11&lt;'Imperial Data'!W35</f>
        <v>0</v>
      </c>
      <c r="AE35" s="99">
        <f t="shared" si="3"/>
        <v>-20</v>
      </c>
      <c r="AF35" s="15">
        <f t="shared" si="1"/>
        <v>21</v>
      </c>
      <c r="AG35" s="15">
        <f t="shared" si="2"/>
        <v>21</v>
      </c>
    </row>
    <row r="36" spans="4:33" x14ac:dyDescent="0.2">
      <c r="D36">
        <v>34</v>
      </c>
      <c r="M36">
        <v>3.231116329999999</v>
      </c>
      <c r="N36">
        <v>0.48008970107094395</v>
      </c>
      <c r="O36">
        <v>2.1080768699999979</v>
      </c>
      <c r="P36">
        <v>0.80270133000000143</v>
      </c>
      <c r="Q36">
        <v>3.4828802799999892</v>
      </c>
      <c r="R36">
        <v>0.80270133000000143</v>
      </c>
      <c r="V36" t="s">
        <v>16</v>
      </c>
      <c r="W36">
        <v>9</v>
      </c>
      <c r="X36" t="b">
        <f>'Cumulative Volumes Imperial'!$F$11&lt;'Imperial Data'!W36</f>
        <v>0</v>
      </c>
      <c r="AE36" s="99">
        <f t="shared" si="3"/>
        <v>-21</v>
      </c>
      <c r="AF36" s="15">
        <f t="shared" si="1"/>
        <v>22</v>
      </c>
      <c r="AG36" s="15">
        <f t="shared" si="2"/>
        <v>22</v>
      </c>
    </row>
    <row r="37" spans="4:33" x14ac:dyDescent="0.2">
      <c r="D37">
        <v>35</v>
      </c>
      <c r="M37">
        <v>3.2614080900000033</v>
      </c>
      <c r="N37">
        <v>0.48920393611099389</v>
      </c>
      <c r="O37">
        <v>2.1338470700000016</v>
      </c>
      <c r="P37">
        <v>0.81994934999999813</v>
      </c>
      <c r="Q37">
        <v>3.5253571800000003</v>
      </c>
      <c r="R37">
        <v>0.81994934999999813</v>
      </c>
      <c r="V37" t="s">
        <v>20</v>
      </c>
      <c r="W37">
        <v>9</v>
      </c>
      <c r="X37" t="b">
        <f>'Cumulative Volumes Imperial'!$F$11&lt;'Imperial Data'!W37</f>
        <v>0</v>
      </c>
      <c r="AE37" s="99">
        <f t="shared" si="3"/>
        <v>-22</v>
      </c>
      <c r="AF37" s="15">
        <f t="shared" si="1"/>
        <v>23</v>
      </c>
      <c r="AG37" s="15">
        <f t="shared" si="2"/>
        <v>23</v>
      </c>
    </row>
    <row r="38" spans="4:33" x14ac:dyDescent="0.2">
      <c r="D38">
        <v>36</v>
      </c>
      <c r="M38">
        <v>3.2902603699999986</v>
      </c>
      <c r="N38">
        <v>0.49796064519846794</v>
      </c>
      <c r="O38">
        <v>2.1586770500000014</v>
      </c>
      <c r="P38">
        <v>0.83850926999999942</v>
      </c>
      <c r="Q38">
        <v>3.5661732399999977</v>
      </c>
      <c r="R38">
        <v>0.83850926999999942</v>
      </c>
      <c r="V38" t="s">
        <v>21</v>
      </c>
      <c r="W38">
        <v>9</v>
      </c>
      <c r="X38" t="b">
        <f>'Cumulative Volumes Imperial'!$F$11&lt;'Imperial Data'!W38</f>
        <v>0</v>
      </c>
      <c r="AE38" s="99">
        <f t="shared" si="3"/>
        <v>-23</v>
      </c>
      <c r="AF38" s="15">
        <f t="shared" si="1"/>
        <v>24</v>
      </c>
      <c r="AG38" s="15">
        <f t="shared" si="2"/>
        <v>24</v>
      </c>
    </row>
    <row r="39" spans="4:33" x14ac:dyDescent="0.2">
      <c r="D39">
        <v>37</v>
      </c>
      <c r="M39">
        <v>3.317963559999999</v>
      </c>
      <c r="N39">
        <v>0.50641592091981735</v>
      </c>
      <c r="O39">
        <v>2.1825410699999992</v>
      </c>
      <c r="P39">
        <v>0.8512516699999999</v>
      </c>
      <c r="Q39">
        <v>3.6055836100000107</v>
      </c>
      <c r="R39">
        <v>0.8512516699999999</v>
      </c>
      <c r="AE39" s="99">
        <f t="shared" si="3"/>
        <v>-24</v>
      </c>
      <c r="AF39" s="15">
        <f t="shared" si="1"/>
        <v>25</v>
      </c>
      <c r="AG39" s="15">
        <f t="shared" si="2"/>
        <v>25</v>
      </c>
    </row>
    <row r="40" spans="4:33" x14ac:dyDescent="0.2">
      <c r="D40">
        <v>38</v>
      </c>
      <c r="M40">
        <v>3.3441231299999998</v>
      </c>
      <c r="N40">
        <v>0.51449733504633777</v>
      </c>
      <c r="O40">
        <v>2.2055248499999962</v>
      </c>
      <c r="P40">
        <v>0.85951773000000031</v>
      </c>
      <c r="Q40">
        <v>3.6434781099999896</v>
      </c>
      <c r="R40">
        <v>0.85951773000000031</v>
      </c>
      <c r="AE40" s="99">
        <f t="shared" si="3"/>
        <v>-25</v>
      </c>
      <c r="AF40" s="15">
        <f t="shared" si="1"/>
        <v>26</v>
      </c>
      <c r="AG40" s="15">
        <f t="shared" si="2"/>
        <v>26</v>
      </c>
    </row>
    <row r="41" spans="4:33" x14ac:dyDescent="0.2">
      <c r="D41">
        <v>39</v>
      </c>
      <c r="M41">
        <v>3.3686171300000005</v>
      </c>
      <c r="N41">
        <v>0.52220563973080036</v>
      </c>
      <c r="O41">
        <v>2.2276519300000004</v>
      </c>
      <c r="P41">
        <v>0.8894542300000019</v>
      </c>
      <c r="Q41">
        <v>3.679943200000011</v>
      </c>
      <c r="R41">
        <v>0.8894542300000019</v>
      </c>
      <c r="AE41" s="99">
        <f t="shared" si="3"/>
        <v>-26</v>
      </c>
      <c r="AF41" s="15">
        <f t="shared" si="1"/>
        <v>27</v>
      </c>
      <c r="AG41" s="15">
        <f t="shared" si="2"/>
        <v>27</v>
      </c>
    </row>
    <row r="42" spans="4:33" x14ac:dyDescent="0.2">
      <c r="D42">
        <v>40</v>
      </c>
      <c r="M42">
        <v>3.3925015199999997</v>
      </c>
      <c r="N42">
        <v>0.52957395555748565</v>
      </c>
      <c r="O42">
        <v>2.2488691000000003</v>
      </c>
      <c r="P42">
        <v>0.90424125999999916</v>
      </c>
      <c r="Q42">
        <v>3.7149965899999984</v>
      </c>
      <c r="R42">
        <v>0.90424125999999916</v>
      </c>
      <c r="AE42" s="99">
        <f t="shared" si="3"/>
        <v>-27</v>
      </c>
      <c r="AF42" s="15">
        <f t="shared" si="1"/>
        <v>28</v>
      </c>
      <c r="AG42" s="15">
        <f t="shared" si="2"/>
        <v>28</v>
      </c>
    </row>
    <row r="43" spans="4:33" x14ac:dyDescent="0.2">
      <c r="D43">
        <v>41</v>
      </c>
      <c r="M43">
        <v>3.4145404999999993</v>
      </c>
      <c r="N43">
        <v>0.53656139700582184</v>
      </c>
      <c r="O43">
        <v>2.269348149999999</v>
      </c>
      <c r="P43">
        <v>0.91725006000000064</v>
      </c>
      <c r="Q43">
        <v>3.7486903599999977</v>
      </c>
      <c r="R43">
        <v>0.91725006000000064</v>
      </c>
      <c r="AE43" s="99">
        <f t="shared" si="3"/>
        <v>-28</v>
      </c>
      <c r="AF43" s="15">
        <f t="shared" si="1"/>
        <v>29</v>
      </c>
      <c r="AG43" s="15">
        <f t="shared" si="2"/>
        <v>29</v>
      </c>
    </row>
    <row r="44" spans="4:33" x14ac:dyDescent="0.2">
      <c r="D44">
        <v>42</v>
      </c>
      <c r="M44">
        <v>3.437018440000001</v>
      </c>
      <c r="N44">
        <v>0.54316875143112764</v>
      </c>
      <c r="O44">
        <v>2.2889872600000061</v>
      </c>
      <c r="P44">
        <v>0.91981162000000083</v>
      </c>
      <c r="Q44">
        <v>3.7809984700000001</v>
      </c>
      <c r="R44">
        <v>0.91981162000000083</v>
      </c>
      <c r="V44" s="98" t="s">
        <v>1</v>
      </c>
      <c r="W44" s="98" t="s">
        <v>123</v>
      </c>
      <c r="X44" s="98" t="s">
        <v>124</v>
      </c>
      <c r="AE44" s="99">
        <f t="shared" si="3"/>
        <v>-29</v>
      </c>
      <c r="AF44" s="15">
        <f t="shared" si="1"/>
        <v>30</v>
      </c>
      <c r="AG44" s="15">
        <f t="shared" si="2"/>
        <v>30</v>
      </c>
    </row>
    <row r="45" spans="4:33" x14ac:dyDescent="0.2">
      <c r="D45">
        <v>43</v>
      </c>
      <c r="M45">
        <v>3.4577127999999995</v>
      </c>
      <c r="N45">
        <v>0.54939087910542606</v>
      </c>
      <c r="O45">
        <v>2.3078523399999966</v>
      </c>
      <c r="P45">
        <v>0.94341004999999711</v>
      </c>
      <c r="Q45">
        <v>3.8120461900000038</v>
      </c>
      <c r="R45">
        <v>0.94341004999999711</v>
      </c>
      <c r="V45" t="s">
        <v>100</v>
      </c>
      <c r="W45">
        <v>6</v>
      </c>
      <c r="X45" t="b">
        <f>'Cumulative Volumes Imperial'!$F$10&lt;'Imperial Data'!W45</f>
        <v>0</v>
      </c>
      <c r="AE45" s="99">
        <f t="shared" si="3"/>
        <v>-30</v>
      </c>
      <c r="AF45" s="15">
        <f t="shared" si="1"/>
        <v>31</v>
      </c>
      <c r="AG45" s="15">
        <f t="shared" si="2"/>
        <v>31</v>
      </c>
    </row>
    <row r="46" spans="4:33" x14ac:dyDescent="0.2">
      <c r="D46">
        <v>44</v>
      </c>
      <c r="M46">
        <v>3.4786939400000003</v>
      </c>
      <c r="N46">
        <v>0.55522414490721361</v>
      </c>
      <c r="O46">
        <v>2.3259473299999982</v>
      </c>
      <c r="P46">
        <v>0.95634088999999989</v>
      </c>
      <c r="Q46">
        <v>3.8416929599999889</v>
      </c>
      <c r="R46">
        <v>0.95634088999999989</v>
      </c>
      <c r="V46" t="s">
        <v>11</v>
      </c>
      <c r="W46">
        <v>6</v>
      </c>
      <c r="X46" t="b">
        <f>'Cumulative Volumes Imperial'!$F$10&lt;'Imperial Data'!W46</f>
        <v>0</v>
      </c>
      <c r="AE46" s="99">
        <f t="shared" si="3"/>
        <v>-31</v>
      </c>
      <c r="AF46" s="15">
        <f t="shared" si="1"/>
        <v>32</v>
      </c>
      <c r="AG46" s="15">
        <f t="shared" si="2"/>
        <v>32</v>
      </c>
    </row>
    <row r="47" spans="4:33" x14ac:dyDescent="0.2">
      <c r="D47">
        <v>45</v>
      </c>
      <c r="M47">
        <v>3.5050925099999999</v>
      </c>
      <c r="N47">
        <v>0.59492275473416101</v>
      </c>
      <c r="O47">
        <v>2.3432950800000043</v>
      </c>
      <c r="P47">
        <v>0.96864110000000103</v>
      </c>
      <c r="Q47">
        <v>3.8701618800000048</v>
      </c>
      <c r="R47">
        <v>0.96864110000000103</v>
      </c>
      <c r="V47" t="s">
        <v>12</v>
      </c>
      <c r="W47">
        <v>6</v>
      </c>
      <c r="X47" t="b">
        <f>'Cumulative Volumes Imperial'!$F$10&lt;'Imperial Data'!W47</f>
        <v>0</v>
      </c>
      <c r="AE47" s="99">
        <f t="shared" si="3"/>
        <v>-32</v>
      </c>
      <c r="AF47" s="15">
        <f t="shared" si="1"/>
        <v>33</v>
      </c>
      <c r="AG47" s="15">
        <f t="shared" si="2"/>
        <v>33</v>
      </c>
    </row>
    <row r="48" spans="4:33" x14ac:dyDescent="0.2">
      <c r="D48">
        <v>46</v>
      </c>
      <c r="O48">
        <v>2.3599080999999984</v>
      </c>
      <c r="P48">
        <v>0.98137976000000116</v>
      </c>
      <c r="Q48">
        <v>3.8974015800000004</v>
      </c>
      <c r="R48">
        <v>0.98137976000000116</v>
      </c>
      <c r="V48" t="s">
        <v>13</v>
      </c>
      <c r="W48">
        <v>6</v>
      </c>
      <c r="X48" t="b">
        <f>'Cumulative Volumes Imperial'!$F$10&lt;'Imperial Data'!W48</f>
        <v>0</v>
      </c>
      <c r="AE48" s="99">
        <f t="shared" si="3"/>
        <v>-33</v>
      </c>
      <c r="AF48" s="15">
        <f t="shared" si="1"/>
        <v>34</v>
      </c>
      <c r="AG48" s="15">
        <f t="shared" si="2"/>
        <v>34</v>
      </c>
    </row>
    <row r="49" spans="4:33" x14ac:dyDescent="0.2">
      <c r="D49">
        <v>47</v>
      </c>
      <c r="O49">
        <v>2.3757959300000024</v>
      </c>
      <c r="P49">
        <v>0.97114358999999872</v>
      </c>
      <c r="Q49">
        <v>3.9234501000000037</v>
      </c>
      <c r="R49">
        <v>0.97114358999999872</v>
      </c>
      <c r="V49" t="s">
        <v>101</v>
      </c>
      <c r="W49">
        <v>6</v>
      </c>
      <c r="X49" t="b">
        <f>'Cumulative Volumes Imperial'!$F$10&lt;'Imperial Data'!W49</f>
        <v>0</v>
      </c>
      <c r="AE49" s="99">
        <f t="shared" si="3"/>
        <v>-34</v>
      </c>
      <c r="AF49" s="15">
        <f t="shared" si="1"/>
        <v>35</v>
      </c>
      <c r="AG49" s="15">
        <f t="shared" si="2"/>
        <v>35</v>
      </c>
    </row>
    <row r="50" spans="4:33" x14ac:dyDescent="0.2">
      <c r="D50">
        <v>48</v>
      </c>
      <c r="O50">
        <v>2.3909780899999973</v>
      </c>
      <c r="P50">
        <v>1.0032460500000013</v>
      </c>
      <c r="Q50">
        <v>3.9482757500000005</v>
      </c>
      <c r="R50">
        <v>1.0032460500000013</v>
      </c>
      <c r="V50" t="s">
        <v>16</v>
      </c>
      <c r="W50">
        <v>12</v>
      </c>
      <c r="X50" t="b">
        <f>'Cumulative Volumes Imperial'!$F$10&lt;'Imperial Data'!W50</f>
        <v>0</v>
      </c>
      <c r="AE50" s="99">
        <f t="shared" si="3"/>
        <v>-35</v>
      </c>
      <c r="AF50" s="15">
        <f t="shared" si="1"/>
        <v>36</v>
      </c>
      <c r="AG50" s="15">
        <f t="shared" si="2"/>
        <v>36</v>
      </c>
    </row>
    <row r="51" spans="4:33" x14ac:dyDescent="0.2">
      <c r="D51">
        <v>49</v>
      </c>
      <c r="O51">
        <v>2.4054623699999986</v>
      </c>
      <c r="P51">
        <v>1.0111244299999989</v>
      </c>
      <c r="Q51">
        <v>3.9719479899999968</v>
      </c>
      <c r="R51">
        <v>1.0111244299999989</v>
      </c>
      <c r="V51" t="s">
        <v>20</v>
      </c>
      <c r="W51">
        <v>12</v>
      </c>
      <c r="X51" t="b">
        <f>'Cumulative Volumes Imperial'!$F$10&lt;'Imperial Data'!W51</f>
        <v>0</v>
      </c>
      <c r="AE51" s="99">
        <f t="shared" si="3"/>
        <v>-36</v>
      </c>
      <c r="AF51" s="15">
        <f t="shared" si="1"/>
        <v>37</v>
      </c>
      <c r="AG51" s="15">
        <f t="shared" si="2"/>
        <v>37</v>
      </c>
    </row>
    <row r="52" spans="4:33" x14ac:dyDescent="0.2">
      <c r="D52">
        <v>50</v>
      </c>
      <c r="O52">
        <v>2.4192595600000004</v>
      </c>
      <c r="P52">
        <v>1.0203583600000012</v>
      </c>
      <c r="Q52">
        <v>3.9945252500000024</v>
      </c>
      <c r="R52">
        <v>1.0203583600000012</v>
      </c>
      <c r="V52" t="s">
        <v>21</v>
      </c>
      <c r="W52">
        <v>12</v>
      </c>
      <c r="X52" t="b">
        <f>'Cumulative Volumes Imperial'!$F$10&lt;'Imperial Data'!W52</f>
        <v>0</v>
      </c>
      <c r="AE52" s="99">
        <f t="shared" si="3"/>
        <v>-37</v>
      </c>
      <c r="AF52" s="15">
        <f t="shared" si="1"/>
        <v>38</v>
      </c>
      <c r="AG52" s="15">
        <f t="shared" si="2"/>
        <v>38</v>
      </c>
    </row>
    <row r="53" spans="4:33" x14ac:dyDescent="0.2">
      <c r="D53">
        <v>51</v>
      </c>
      <c r="O53">
        <v>2.4323819800000024</v>
      </c>
      <c r="P53">
        <v>1.0303284899999987</v>
      </c>
      <c r="Q53">
        <v>4.0159295599999965</v>
      </c>
      <c r="R53">
        <v>1.0303284899999987</v>
      </c>
      <c r="AE53" s="99">
        <f t="shared" si="3"/>
        <v>-38</v>
      </c>
      <c r="AF53" s="15">
        <f t="shared" si="1"/>
        <v>39</v>
      </c>
      <c r="AG53" s="15">
        <f t="shared" si="2"/>
        <v>39</v>
      </c>
    </row>
    <row r="54" spans="4:33" x14ac:dyDescent="0.2">
      <c r="D54">
        <v>52</v>
      </c>
      <c r="O54">
        <v>2.4448378200000001</v>
      </c>
      <c r="P54">
        <v>1.0387091000000002</v>
      </c>
      <c r="Q54">
        <v>4.0362060200000016</v>
      </c>
      <c r="R54">
        <v>1.0387091000000002</v>
      </c>
      <c r="AE54" s="99">
        <f t="shared" si="3"/>
        <v>-39</v>
      </c>
      <c r="AF54" s="15">
        <f t="shared" si="1"/>
        <v>40</v>
      </c>
      <c r="AG54" s="15">
        <f t="shared" si="2"/>
        <v>40</v>
      </c>
    </row>
    <row r="55" spans="4:33" x14ac:dyDescent="0.2">
      <c r="D55">
        <v>53</v>
      </c>
      <c r="O55">
        <v>2.4566352699999996</v>
      </c>
      <c r="P55">
        <v>1.0463667000000001</v>
      </c>
      <c r="Q55">
        <v>4.0554265799999989</v>
      </c>
      <c r="R55">
        <v>1.0463667000000001</v>
      </c>
      <c r="AE55" s="99">
        <f t="shared" si="3"/>
        <v>-40</v>
      </c>
      <c r="AF55" s="15">
        <f t="shared" si="1"/>
        <v>41</v>
      </c>
      <c r="AG55" s="15">
        <f t="shared" si="2"/>
        <v>41</v>
      </c>
    </row>
    <row r="56" spans="4:33" x14ac:dyDescent="0.2">
      <c r="D56">
        <v>54</v>
      </c>
      <c r="O56">
        <v>2.4677824599999987</v>
      </c>
      <c r="P56">
        <v>1.0540244599999999</v>
      </c>
      <c r="Q56">
        <v>4.0735517200000011</v>
      </c>
      <c r="R56">
        <v>1.0540244599999999</v>
      </c>
      <c r="AE56" s="99">
        <f t="shared" si="3"/>
        <v>-41</v>
      </c>
      <c r="AF56" s="15">
        <f t="shared" si="1"/>
        <v>42</v>
      </c>
      <c r="AG56" s="15">
        <f t="shared" si="2"/>
        <v>42</v>
      </c>
    </row>
    <row r="57" spans="4:33" x14ac:dyDescent="0.2">
      <c r="D57">
        <v>55</v>
      </c>
      <c r="O57">
        <v>2.4782819400000005</v>
      </c>
      <c r="P57">
        <v>1.0504466400000005</v>
      </c>
      <c r="Q57">
        <v>4.0905063000000013</v>
      </c>
      <c r="R57">
        <v>1.0504466400000005</v>
      </c>
      <c r="AE57" s="99">
        <f t="shared" si="3"/>
        <v>-42</v>
      </c>
      <c r="AF57" s="15">
        <f t="shared" si="1"/>
        <v>43</v>
      </c>
      <c r="AG57" s="15">
        <f t="shared" si="2"/>
        <v>43</v>
      </c>
    </row>
    <row r="58" spans="4:33" x14ac:dyDescent="0.2">
      <c r="D58">
        <v>56</v>
      </c>
      <c r="O58">
        <v>2.4882536299999991</v>
      </c>
      <c r="P58">
        <v>1.0566544799999997</v>
      </c>
      <c r="Q58">
        <v>4.1066937699999997</v>
      </c>
      <c r="R58">
        <v>1.0566544799999997</v>
      </c>
      <c r="AE58" s="99">
        <f t="shared" si="3"/>
        <v>-43</v>
      </c>
      <c r="AF58" s="15">
        <f t="shared" si="1"/>
        <v>44</v>
      </c>
      <c r="AG58" s="15">
        <f t="shared" si="2"/>
        <v>44</v>
      </c>
    </row>
    <row r="59" spans="4:33" x14ac:dyDescent="0.2">
      <c r="D59">
        <v>57</v>
      </c>
      <c r="O59">
        <v>2.4976883700000005</v>
      </c>
      <c r="P59">
        <v>1.07545979</v>
      </c>
      <c r="Q59">
        <v>4.1220993999999997</v>
      </c>
      <c r="R59">
        <v>1.07545979</v>
      </c>
      <c r="AE59" s="99">
        <f t="shared" si="3"/>
        <v>-44</v>
      </c>
      <c r="AF59" s="15">
        <f t="shared" si="1"/>
        <v>45</v>
      </c>
      <c r="AG59" s="15">
        <f t="shared" si="2"/>
        <v>45</v>
      </c>
    </row>
    <row r="60" spans="4:33" x14ac:dyDescent="0.2">
      <c r="D60">
        <v>58</v>
      </c>
      <c r="O60">
        <v>2.50650788</v>
      </c>
      <c r="P60">
        <v>1.0827729100000001</v>
      </c>
      <c r="Q60">
        <v>4.1365370299999995</v>
      </c>
      <c r="R60">
        <v>1.0827729100000001</v>
      </c>
      <c r="AE60" s="99">
        <f t="shared" si="3"/>
        <v>-45</v>
      </c>
      <c r="AF60" s="15">
        <f t="shared" si="1"/>
        <v>46</v>
      </c>
      <c r="AG60" s="15">
        <f t="shared" si="2"/>
        <v>46</v>
      </c>
    </row>
    <row r="61" spans="4:33" x14ac:dyDescent="0.2">
      <c r="D61">
        <v>59</v>
      </c>
      <c r="O61">
        <v>2.5147196800000002</v>
      </c>
      <c r="P61">
        <v>1.0881013100000001</v>
      </c>
      <c r="Q61">
        <v>4.1499744100000004</v>
      </c>
      <c r="R61">
        <v>1.0881013100000001</v>
      </c>
      <c r="AE61" s="99">
        <f t="shared" si="3"/>
        <v>-46</v>
      </c>
      <c r="AF61" s="15">
        <f t="shared" si="1"/>
        <v>47</v>
      </c>
      <c r="AG61" s="15">
        <f t="shared" si="2"/>
        <v>47</v>
      </c>
    </row>
    <row r="62" spans="4:33" x14ac:dyDescent="0.2">
      <c r="D62">
        <v>60</v>
      </c>
      <c r="O62">
        <v>2.5269298299999998</v>
      </c>
      <c r="P62">
        <v>1.10637466</v>
      </c>
      <c r="Q62">
        <v>4.1710139799999997</v>
      </c>
      <c r="R62">
        <v>1.10637466</v>
      </c>
      <c r="AE62" s="99">
        <f t="shared" si="3"/>
        <v>-47</v>
      </c>
      <c r="AF62" s="15">
        <f t="shared" si="1"/>
        <v>48</v>
      </c>
      <c r="AG62" s="15">
        <f t="shared" si="2"/>
        <v>48</v>
      </c>
    </row>
    <row r="63" spans="4:33" x14ac:dyDescent="0.2">
      <c r="AE63" s="99">
        <f t="shared" si="3"/>
        <v>-48</v>
      </c>
      <c r="AF63" s="15">
        <f t="shared" si="1"/>
        <v>49</v>
      </c>
      <c r="AG63" s="15">
        <f t="shared" si="2"/>
        <v>49</v>
      </c>
    </row>
    <row r="64" spans="4:33" x14ac:dyDescent="0.2">
      <c r="AE64" s="99">
        <f t="shared" si="3"/>
        <v>-49</v>
      </c>
      <c r="AF64" s="15">
        <f t="shared" si="1"/>
        <v>50</v>
      </c>
      <c r="AG64" s="15">
        <f t="shared" si="2"/>
        <v>50</v>
      </c>
    </row>
    <row r="65" spans="31:33" x14ac:dyDescent="0.2">
      <c r="AE65" s="99">
        <f t="shared" si="3"/>
        <v>-50</v>
      </c>
      <c r="AF65" s="15">
        <f t="shared" si="1"/>
        <v>51</v>
      </c>
      <c r="AG65" s="15">
        <f t="shared" si="2"/>
        <v>51</v>
      </c>
    </row>
    <row r="66" spans="31:33" x14ac:dyDescent="0.2">
      <c r="AE66" s="99">
        <f t="shared" si="3"/>
        <v>-51</v>
      </c>
      <c r="AF66" s="15">
        <f t="shared" si="1"/>
        <v>52</v>
      </c>
      <c r="AG66" s="15">
        <f t="shared" si="2"/>
        <v>52</v>
      </c>
    </row>
    <row r="67" spans="31:33" x14ac:dyDescent="0.2">
      <c r="AE67" s="99">
        <f t="shared" si="3"/>
        <v>-52</v>
      </c>
      <c r="AF67" s="15">
        <f t="shared" si="1"/>
        <v>53</v>
      </c>
      <c r="AG67" s="15">
        <f t="shared" si="2"/>
        <v>53</v>
      </c>
    </row>
    <row r="68" spans="31:33" x14ac:dyDescent="0.2">
      <c r="AE68" s="99">
        <f t="shared" si="3"/>
        <v>-53</v>
      </c>
      <c r="AF68" s="15">
        <f t="shared" ref="AF68:AF131" si="5">IF(AF67&gt;=1,AF67+1,IF(AE68=0,1,-1))</f>
        <v>54</v>
      </c>
      <c r="AG68" s="15">
        <f t="shared" ref="AG68:AG131" si="6">IF(AND(AG67&gt;=1,AG67&lt;$AB$3),AG67+1,IF(AE68=0,1,-1))</f>
        <v>54</v>
      </c>
    </row>
    <row r="69" spans="31:33" x14ac:dyDescent="0.2">
      <c r="AE69" s="99">
        <f t="shared" ref="AE69:AE132" si="7">AE68-1</f>
        <v>-54</v>
      </c>
      <c r="AF69" s="15">
        <f t="shared" si="5"/>
        <v>55</v>
      </c>
      <c r="AG69" s="15">
        <f t="shared" si="6"/>
        <v>55</v>
      </c>
    </row>
    <row r="70" spans="31:33" x14ac:dyDescent="0.2">
      <c r="AE70" s="99">
        <f t="shared" si="7"/>
        <v>-55</v>
      </c>
      <c r="AF70" s="15">
        <f t="shared" si="5"/>
        <v>56</v>
      </c>
      <c r="AG70" s="15">
        <f t="shared" si="6"/>
        <v>56</v>
      </c>
    </row>
    <row r="71" spans="31:33" x14ac:dyDescent="0.2">
      <c r="AE71" s="99">
        <f t="shared" si="7"/>
        <v>-56</v>
      </c>
      <c r="AF71" s="15">
        <f t="shared" si="5"/>
        <v>57</v>
      </c>
      <c r="AG71" s="15">
        <f t="shared" si="6"/>
        <v>57</v>
      </c>
    </row>
    <row r="72" spans="31:33" x14ac:dyDescent="0.2">
      <c r="AE72" s="99">
        <f t="shared" si="7"/>
        <v>-57</v>
      </c>
      <c r="AF72" s="15">
        <f t="shared" si="5"/>
        <v>58</v>
      </c>
      <c r="AG72" s="15">
        <f t="shared" si="6"/>
        <v>58</v>
      </c>
    </row>
    <row r="73" spans="31:33" x14ac:dyDescent="0.2">
      <c r="AE73" s="99">
        <f t="shared" si="7"/>
        <v>-58</v>
      </c>
      <c r="AF73" s="15">
        <f t="shared" si="5"/>
        <v>59</v>
      </c>
      <c r="AG73" s="15">
        <f t="shared" si="6"/>
        <v>59</v>
      </c>
    </row>
    <row r="74" spans="31:33" x14ac:dyDescent="0.2">
      <c r="AE74" s="99">
        <f t="shared" si="7"/>
        <v>-59</v>
      </c>
      <c r="AF74" s="15">
        <f t="shared" si="5"/>
        <v>60</v>
      </c>
      <c r="AG74" s="15">
        <f t="shared" si="6"/>
        <v>60</v>
      </c>
    </row>
    <row r="75" spans="31:33" x14ac:dyDescent="0.2">
      <c r="AE75" s="99">
        <f t="shared" si="7"/>
        <v>-60</v>
      </c>
      <c r="AF75" s="15">
        <f t="shared" si="5"/>
        <v>61</v>
      </c>
      <c r="AG75" s="15">
        <f t="shared" si="6"/>
        <v>-1</v>
      </c>
    </row>
    <row r="76" spans="31:33" x14ac:dyDescent="0.2">
      <c r="AE76" s="99">
        <f t="shared" si="7"/>
        <v>-61</v>
      </c>
      <c r="AF76" s="15">
        <f t="shared" si="5"/>
        <v>62</v>
      </c>
      <c r="AG76" s="15">
        <f t="shared" si="6"/>
        <v>-1</v>
      </c>
    </row>
    <row r="77" spans="31:33" x14ac:dyDescent="0.2">
      <c r="AE77" s="99">
        <f t="shared" si="7"/>
        <v>-62</v>
      </c>
      <c r="AF77" s="15">
        <f t="shared" si="5"/>
        <v>63</v>
      </c>
      <c r="AG77" s="15">
        <f t="shared" si="6"/>
        <v>-1</v>
      </c>
    </row>
    <row r="78" spans="31:33" x14ac:dyDescent="0.2">
      <c r="AE78" s="99">
        <f t="shared" si="7"/>
        <v>-63</v>
      </c>
      <c r="AF78" s="15">
        <f t="shared" si="5"/>
        <v>64</v>
      </c>
      <c r="AG78" s="15">
        <f t="shared" si="6"/>
        <v>-1</v>
      </c>
    </row>
    <row r="79" spans="31:33" x14ac:dyDescent="0.2">
      <c r="AE79" s="99">
        <f t="shared" si="7"/>
        <v>-64</v>
      </c>
      <c r="AF79" s="15">
        <f t="shared" si="5"/>
        <v>65</v>
      </c>
      <c r="AG79" s="15">
        <f t="shared" si="6"/>
        <v>-1</v>
      </c>
    </row>
    <row r="80" spans="31:33" x14ac:dyDescent="0.2">
      <c r="AE80" s="99">
        <f t="shared" si="7"/>
        <v>-65</v>
      </c>
      <c r="AF80" s="15">
        <f t="shared" si="5"/>
        <v>66</v>
      </c>
      <c r="AG80" s="15">
        <f t="shared" si="6"/>
        <v>-1</v>
      </c>
    </row>
    <row r="81" spans="31:33" x14ac:dyDescent="0.2">
      <c r="AE81" s="99">
        <f t="shared" si="7"/>
        <v>-66</v>
      </c>
      <c r="AF81" s="15">
        <f t="shared" si="5"/>
        <v>67</v>
      </c>
      <c r="AG81" s="15">
        <f t="shared" si="6"/>
        <v>-1</v>
      </c>
    </row>
    <row r="82" spans="31:33" x14ac:dyDescent="0.2">
      <c r="AE82" s="99">
        <f t="shared" si="7"/>
        <v>-67</v>
      </c>
      <c r="AF82" s="15">
        <f t="shared" si="5"/>
        <v>68</v>
      </c>
      <c r="AG82" s="15">
        <f t="shared" si="6"/>
        <v>-1</v>
      </c>
    </row>
    <row r="83" spans="31:33" x14ac:dyDescent="0.2">
      <c r="AE83" s="99">
        <f t="shared" si="7"/>
        <v>-68</v>
      </c>
      <c r="AF83" s="15">
        <f t="shared" si="5"/>
        <v>69</v>
      </c>
      <c r="AG83" s="15">
        <f t="shared" si="6"/>
        <v>-1</v>
      </c>
    </row>
    <row r="84" spans="31:33" x14ac:dyDescent="0.2">
      <c r="AE84" s="99">
        <f t="shared" si="7"/>
        <v>-69</v>
      </c>
      <c r="AF84" s="15">
        <f t="shared" si="5"/>
        <v>70</v>
      </c>
      <c r="AG84" s="15">
        <f t="shared" si="6"/>
        <v>-1</v>
      </c>
    </row>
    <row r="85" spans="31:33" x14ac:dyDescent="0.2">
      <c r="AE85" s="99">
        <f t="shared" si="7"/>
        <v>-70</v>
      </c>
      <c r="AF85" s="15">
        <f t="shared" si="5"/>
        <v>71</v>
      </c>
      <c r="AG85" s="15">
        <f t="shared" si="6"/>
        <v>-1</v>
      </c>
    </row>
    <row r="86" spans="31:33" x14ac:dyDescent="0.2">
      <c r="AE86" s="99">
        <f t="shared" si="7"/>
        <v>-71</v>
      </c>
      <c r="AF86" s="15">
        <f t="shared" si="5"/>
        <v>72</v>
      </c>
      <c r="AG86" s="15">
        <f t="shared" si="6"/>
        <v>-1</v>
      </c>
    </row>
    <row r="87" spans="31:33" x14ac:dyDescent="0.2">
      <c r="AE87" s="99">
        <f t="shared" si="7"/>
        <v>-72</v>
      </c>
      <c r="AF87" s="15">
        <f t="shared" si="5"/>
        <v>73</v>
      </c>
      <c r="AG87" s="15">
        <f t="shared" si="6"/>
        <v>-1</v>
      </c>
    </row>
    <row r="88" spans="31:33" x14ac:dyDescent="0.2">
      <c r="AE88" s="99">
        <f t="shared" si="7"/>
        <v>-73</v>
      </c>
      <c r="AF88" s="15">
        <f t="shared" si="5"/>
        <v>74</v>
      </c>
      <c r="AG88" s="15">
        <f t="shared" si="6"/>
        <v>-1</v>
      </c>
    </row>
    <row r="89" spans="31:33" x14ac:dyDescent="0.2">
      <c r="AE89" s="99">
        <f t="shared" si="7"/>
        <v>-74</v>
      </c>
      <c r="AF89" s="15">
        <f t="shared" si="5"/>
        <v>75</v>
      </c>
      <c r="AG89" s="15">
        <f t="shared" si="6"/>
        <v>-1</v>
      </c>
    </row>
    <row r="90" spans="31:33" x14ac:dyDescent="0.2">
      <c r="AE90" s="99">
        <f t="shared" si="7"/>
        <v>-75</v>
      </c>
      <c r="AF90" s="15">
        <f t="shared" si="5"/>
        <v>76</v>
      </c>
      <c r="AG90" s="15">
        <f t="shared" si="6"/>
        <v>-1</v>
      </c>
    </row>
    <row r="91" spans="31:33" x14ac:dyDescent="0.2">
      <c r="AE91" s="99">
        <f t="shared" si="7"/>
        <v>-76</v>
      </c>
      <c r="AF91" s="15">
        <f t="shared" si="5"/>
        <v>77</v>
      </c>
      <c r="AG91" s="15">
        <f t="shared" si="6"/>
        <v>-1</v>
      </c>
    </row>
    <row r="92" spans="31:33" x14ac:dyDescent="0.2">
      <c r="AE92" s="99">
        <f t="shared" si="7"/>
        <v>-77</v>
      </c>
      <c r="AF92" s="15">
        <f t="shared" si="5"/>
        <v>78</v>
      </c>
      <c r="AG92" s="15">
        <f t="shared" si="6"/>
        <v>-1</v>
      </c>
    </row>
    <row r="93" spans="31:33" x14ac:dyDescent="0.2">
      <c r="AE93" s="99">
        <f t="shared" si="7"/>
        <v>-78</v>
      </c>
      <c r="AF93" s="15">
        <f t="shared" si="5"/>
        <v>79</v>
      </c>
      <c r="AG93" s="15">
        <f t="shared" si="6"/>
        <v>-1</v>
      </c>
    </row>
    <row r="94" spans="31:33" x14ac:dyDescent="0.2">
      <c r="AE94" s="99">
        <f t="shared" si="7"/>
        <v>-79</v>
      </c>
      <c r="AF94" s="15">
        <f t="shared" si="5"/>
        <v>80</v>
      </c>
      <c r="AG94" s="15">
        <f t="shared" si="6"/>
        <v>-1</v>
      </c>
    </row>
    <row r="95" spans="31:33" x14ac:dyDescent="0.2">
      <c r="AE95" s="99">
        <f t="shared" si="7"/>
        <v>-80</v>
      </c>
      <c r="AF95" s="15">
        <f t="shared" si="5"/>
        <v>81</v>
      </c>
      <c r="AG95" s="15">
        <f t="shared" si="6"/>
        <v>-1</v>
      </c>
    </row>
    <row r="96" spans="31:33" x14ac:dyDescent="0.2">
      <c r="AE96" s="99">
        <f t="shared" si="7"/>
        <v>-81</v>
      </c>
      <c r="AF96" s="15">
        <f t="shared" si="5"/>
        <v>82</v>
      </c>
      <c r="AG96" s="15">
        <f t="shared" si="6"/>
        <v>-1</v>
      </c>
    </row>
    <row r="97" spans="31:33" x14ac:dyDescent="0.2">
      <c r="AE97" s="99">
        <f t="shared" si="7"/>
        <v>-82</v>
      </c>
      <c r="AF97" s="15">
        <f t="shared" si="5"/>
        <v>83</v>
      </c>
      <c r="AG97" s="15">
        <f t="shared" si="6"/>
        <v>-1</v>
      </c>
    </row>
    <row r="98" spans="31:33" x14ac:dyDescent="0.2">
      <c r="AE98" s="99">
        <f t="shared" si="7"/>
        <v>-83</v>
      </c>
      <c r="AF98" s="15">
        <f t="shared" si="5"/>
        <v>84</v>
      </c>
      <c r="AG98" s="15">
        <f t="shared" si="6"/>
        <v>-1</v>
      </c>
    </row>
    <row r="99" spans="31:33" x14ac:dyDescent="0.2">
      <c r="AE99" s="99">
        <f t="shared" si="7"/>
        <v>-84</v>
      </c>
      <c r="AF99" s="15">
        <f t="shared" si="5"/>
        <v>85</v>
      </c>
      <c r="AG99" s="15">
        <f t="shared" si="6"/>
        <v>-1</v>
      </c>
    </row>
    <row r="100" spans="31:33" x14ac:dyDescent="0.2">
      <c r="AE100" s="99">
        <f t="shared" si="7"/>
        <v>-85</v>
      </c>
      <c r="AF100" s="15">
        <f t="shared" si="5"/>
        <v>86</v>
      </c>
      <c r="AG100" s="15">
        <f t="shared" si="6"/>
        <v>-1</v>
      </c>
    </row>
    <row r="101" spans="31:33" x14ac:dyDescent="0.2">
      <c r="AE101" s="99">
        <f t="shared" si="7"/>
        <v>-86</v>
      </c>
      <c r="AF101" s="15">
        <f t="shared" si="5"/>
        <v>87</v>
      </c>
      <c r="AG101" s="15">
        <f t="shared" si="6"/>
        <v>-1</v>
      </c>
    </row>
    <row r="102" spans="31:33" x14ac:dyDescent="0.2">
      <c r="AE102" s="99">
        <f t="shared" si="7"/>
        <v>-87</v>
      </c>
      <c r="AF102" s="15">
        <f t="shared" si="5"/>
        <v>88</v>
      </c>
      <c r="AG102" s="15">
        <f t="shared" si="6"/>
        <v>-1</v>
      </c>
    </row>
    <row r="103" spans="31:33" x14ac:dyDescent="0.2">
      <c r="AE103" s="99">
        <f t="shared" si="7"/>
        <v>-88</v>
      </c>
      <c r="AF103" s="15">
        <f t="shared" si="5"/>
        <v>89</v>
      </c>
      <c r="AG103" s="15">
        <f t="shared" si="6"/>
        <v>-1</v>
      </c>
    </row>
    <row r="104" spans="31:33" x14ac:dyDescent="0.2">
      <c r="AE104" s="99">
        <f t="shared" si="7"/>
        <v>-89</v>
      </c>
      <c r="AF104" s="15">
        <f t="shared" si="5"/>
        <v>90</v>
      </c>
      <c r="AG104" s="15">
        <f t="shared" si="6"/>
        <v>-1</v>
      </c>
    </row>
    <row r="105" spans="31:33" x14ac:dyDescent="0.2">
      <c r="AE105" s="99">
        <f t="shared" si="7"/>
        <v>-90</v>
      </c>
      <c r="AF105" s="15">
        <f t="shared" si="5"/>
        <v>91</v>
      </c>
      <c r="AG105" s="15">
        <f t="shared" si="6"/>
        <v>-1</v>
      </c>
    </row>
    <row r="106" spans="31:33" x14ac:dyDescent="0.2">
      <c r="AE106" s="99">
        <f t="shared" si="7"/>
        <v>-91</v>
      </c>
      <c r="AF106" s="15">
        <f t="shared" si="5"/>
        <v>92</v>
      </c>
      <c r="AG106" s="15">
        <f t="shared" si="6"/>
        <v>-1</v>
      </c>
    </row>
    <row r="107" spans="31:33" x14ac:dyDescent="0.2">
      <c r="AE107" s="99">
        <f t="shared" si="7"/>
        <v>-92</v>
      </c>
      <c r="AF107" s="15">
        <f t="shared" si="5"/>
        <v>93</v>
      </c>
      <c r="AG107" s="15">
        <f t="shared" si="6"/>
        <v>-1</v>
      </c>
    </row>
    <row r="108" spans="31:33" x14ac:dyDescent="0.2">
      <c r="AE108" s="99">
        <f t="shared" si="7"/>
        <v>-93</v>
      </c>
      <c r="AF108" s="15">
        <f t="shared" si="5"/>
        <v>94</v>
      </c>
      <c r="AG108" s="15">
        <f t="shared" si="6"/>
        <v>-1</v>
      </c>
    </row>
    <row r="109" spans="31:33" x14ac:dyDescent="0.2">
      <c r="AE109" s="99">
        <f t="shared" si="7"/>
        <v>-94</v>
      </c>
      <c r="AF109" s="15">
        <f t="shared" si="5"/>
        <v>95</v>
      </c>
      <c r="AG109" s="15">
        <f t="shared" si="6"/>
        <v>-1</v>
      </c>
    </row>
    <row r="110" spans="31:33" x14ac:dyDescent="0.2">
      <c r="AE110" s="99">
        <f t="shared" si="7"/>
        <v>-95</v>
      </c>
      <c r="AF110" s="15">
        <f t="shared" si="5"/>
        <v>96</v>
      </c>
      <c r="AG110" s="15">
        <f t="shared" si="6"/>
        <v>-1</v>
      </c>
    </row>
    <row r="111" spans="31:33" x14ac:dyDescent="0.2">
      <c r="AE111" s="99">
        <f t="shared" si="7"/>
        <v>-96</v>
      </c>
      <c r="AF111" s="15">
        <f t="shared" si="5"/>
        <v>97</v>
      </c>
      <c r="AG111" s="15">
        <f t="shared" si="6"/>
        <v>-1</v>
      </c>
    </row>
    <row r="112" spans="31:33" x14ac:dyDescent="0.2">
      <c r="AE112" s="99">
        <f t="shared" si="7"/>
        <v>-97</v>
      </c>
      <c r="AF112" s="15">
        <f t="shared" si="5"/>
        <v>98</v>
      </c>
      <c r="AG112" s="15">
        <f t="shared" si="6"/>
        <v>-1</v>
      </c>
    </row>
    <row r="113" spans="31:33" x14ac:dyDescent="0.2">
      <c r="AE113" s="99">
        <f t="shared" si="7"/>
        <v>-98</v>
      </c>
      <c r="AF113" s="15">
        <f t="shared" si="5"/>
        <v>99</v>
      </c>
      <c r="AG113" s="15">
        <f t="shared" si="6"/>
        <v>-1</v>
      </c>
    </row>
    <row r="114" spans="31:33" x14ac:dyDescent="0.2">
      <c r="AE114" s="99">
        <f t="shared" si="7"/>
        <v>-99</v>
      </c>
      <c r="AF114" s="15">
        <f t="shared" si="5"/>
        <v>100</v>
      </c>
      <c r="AG114" s="15">
        <f t="shared" si="6"/>
        <v>-1</v>
      </c>
    </row>
    <row r="115" spans="31:33" x14ac:dyDescent="0.2">
      <c r="AE115" s="99">
        <f t="shared" si="7"/>
        <v>-100</v>
      </c>
      <c r="AF115" s="15">
        <f t="shared" si="5"/>
        <v>101</v>
      </c>
      <c r="AG115" s="15">
        <f t="shared" si="6"/>
        <v>-1</v>
      </c>
    </row>
    <row r="116" spans="31:33" x14ac:dyDescent="0.2">
      <c r="AE116" s="99">
        <f t="shared" si="7"/>
        <v>-101</v>
      </c>
      <c r="AF116" s="15">
        <f t="shared" si="5"/>
        <v>102</v>
      </c>
      <c r="AG116" s="15">
        <f t="shared" si="6"/>
        <v>-1</v>
      </c>
    </row>
    <row r="117" spans="31:33" x14ac:dyDescent="0.2">
      <c r="AE117" s="99">
        <f t="shared" si="7"/>
        <v>-102</v>
      </c>
      <c r="AF117" s="15">
        <f t="shared" si="5"/>
        <v>103</v>
      </c>
      <c r="AG117" s="15">
        <f t="shared" si="6"/>
        <v>-1</v>
      </c>
    </row>
    <row r="118" spans="31:33" x14ac:dyDescent="0.2">
      <c r="AE118" s="99">
        <f t="shared" si="7"/>
        <v>-103</v>
      </c>
      <c r="AF118" s="15">
        <f t="shared" si="5"/>
        <v>104</v>
      </c>
      <c r="AG118" s="15">
        <f t="shared" si="6"/>
        <v>-1</v>
      </c>
    </row>
    <row r="119" spans="31:33" x14ac:dyDescent="0.2">
      <c r="AE119" s="99">
        <f t="shared" si="7"/>
        <v>-104</v>
      </c>
      <c r="AF119" s="15">
        <f t="shared" si="5"/>
        <v>105</v>
      </c>
      <c r="AG119" s="15">
        <f t="shared" si="6"/>
        <v>-1</v>
      </c>
    </row>
    <row r="120" spans="31:33" x14ac:dyDescent="0.2">
      <c r="AE120" s="99">
        <f t="shared" si="7"/>
        <v>-105</v>
      </c>
      <c r="AF120" s="15">
        <f t="shared" si="5"/>
        <v>106</v>
      </c>
      <c r="AG120" s="15">
        <f t="shared" si="6"/>
        <v>-1</v>
      </c>
    </row>
    <row r="121" spans="31:33" x14ac:dyDescent="0.2">
      <c r="AE121" s="99">
        <f t="shared" si="7"/>
        <v>-106</v>
      </c>
      <c r="AF121" s="15">
        <f t="shared" si="5"/>
        <v>107</v>
      </c>
      <c r="AG121" s="15">
        <f t="shared" si="6"/>
        <v>-1</v>
      </c>
    </row>
    <row r="122" spans="31:33" x14ac:dyDescent="0.2">
      <c r="AE122" s="99">
        <f t="shared" si="7"/>
        <v>-107</v>
      </c>
      <c r="AF122" s="15">
        <f t="shared" si="5"/>
        <v>108</v>
      </c>
      <c r="AG122" s="15">
        <f t="shared" si="6"/>
        <v>-1</v>
      </c>
    </row>
    <row r="123" spans="31:33" x14ac:dyDescent="0.2">
      <c r="AE123" s="99">
        <f t="shared" si="7"/>
        <v>-108</v>
      </c>
      <c r="AF123" s="15">
        <f t="shared" si="5"/>
        <v>109</v>
      </c>
      <c r="AG123" s="15">
        <f t="shared" si="6"/>
        <v>-1</v>
      </c>
    </row>
    <row r="124" spans="31:33" x14ac:dyDescent="0.2">
      <c r="AE124" s="99">
        <f t="shared" si="7"/>
        <v>-109</v>
      </c>
      <c r="AF124" s="15">
        <f t="shared" si="5"/>
        <v>110</v>
      </c>
      <c r="AG124" s="15">
        <f t="shared" si="6"/>
        <v>-1</v>
      </c>
    </row>
    <row r="125" spans="31:33" x14ac:dyDescent="0.2">
      <c r="AE125" s="99">
        <f t="shared" si="7"/>
        <v>-110</v>
      </c>
      <c r="AF125" s="15">
        <f t="shared" si="5"/>
        <v>111</v>
      </c>
      <c r="AG125" s="15">
        <f t="shared" si="6"/>
        <v>-1</v>
      </c>
    </row>
    <row r="126" spans="31:33" x14ac:dyDescent="0.2">
      <c r="AE126" s="99">
        <f t="shared" si="7"/>
        <v>-111</v>
      </c>
      <c r="AF126" s="15">
        <f t="shared" si="5"/>
        <v>112</v>
      </c>
      <c r="AG126" s="15">
        <f t="shared" si="6"/>
        <v>-1</v>
      </c>
    </row>
    <row r="127" spans="31:33" x14ac:dyDescent="0.2">
      <c r="AE127" s="99">
        <f t="shared" si="7"/>
        <v>-112</v>
      </c>
      <c r="AF127" s="15">
        <f t="shared" si="5"/>
        <v>113</v>
      </c>
      <c r="AG127" s="15">
        <f t="shared" si="6"/>
        <v>-1</v>
      </c>
    </row>
    <row r="128" spans="31:33" x14ac:dyDescent="0.2">
      <c r="AE128" s="99">
        <f t="shared" si="7"/>
        <v>-113</v>
      </c>
      <c r="AF128" s="15">
        <f t="shared" si="5"/>
        <v>114</v>
      </c>
      <c r="AG128" s="15">
        <f t="shared" si="6"/>
        <v>-1</v>
      </c>
    </row>
    <row r="129" spans="31:33" x14ac:dyDescent="0.2">
      <c r="AE129" s="99">
        <f t="shared" si="7"/>
        <v>-114</v>
      </c>
      <c r="AF129" s="15">
        <f t="shared" si="5"/>
        <v>115</v>
      </c>
      <c r="AG129" s="15">
        <f t="shared" si="6"/>
        <v>-1</v>
      </c>
    </row>
    <row r="130" spans="31:33" x14ac:dyDescent="0.2">
      <c r="AE130" s="99">
        <f t="shared" si="7"/>
        <v>-115</v>
      </c>
      <c r="AF130" s="15">
        <f t="shared" si="5"/>
        <v>116</v>
      </c>
      <c r="AG130" s="15">
        <f t="shared" si="6"/>
        <v>-1</v>
      </c>
    </row>
    <row r="131" spans="31:33" x14ac:dyDescent="0.2">
      <c r="AE131" s="99">
        <f t="shared" si="7"/>
        <v>-116</v>
      </c>
      <c r="AF131" s="15">
        <f t="shared" si="5"/>
        <v>117</v>
      </c>
      <c r="AG131" s="15">
        <f t="shared" si="6"/>
        <v>-1</v>
      </c>
    </row>
    <row r="132" spans="31:33" x14ac:dyDescent="0.2">
      <c r="AE132" s="99">
        <f t="shared" si="7"/>
        <v>-117</v>
      </c>
      <c r="AF132" s="15">
        <f t="shared" ref="AF132:AF195" si="8">IF(AF131&gt;=1,AF131+1,IF(AE132=0,1,-1))</f>
        <v>118</v>
      </c>
      <c r="AG132" s="15">
        <f t="shared" ref="AG132:AG195" si="9">IF(AND(AG131&gt;=1,AG131&lt;$AB$3),AG131+1,IF(AE132=0,1,-1))</f>
        <v>-1</v>
      </c>
    </row>
    <row r="133" spans="31:33" x14ac:dyDescent="0.2">
      <c r="AE133" s="99">
        <f t="shared" ref="AE133:AE196" si="10">AE132-1</f>
        <v>-118</v>
      </c>
      <c r="AF133" s="15">
        <f t="shared" si="8"/>
        <v>119</v>
      </c>
      <c r="AG133" s="15">
        <f t="shared" si="9"/>
        <v>-1</v>
      </c>
    </row>
    <row r="134" spans="31:33" x14ac:dyDescent="0.2">
      <c r="AE134" s="99">
        <f t="shared" si="10"/>
        <v>-119</v>
      </c>
      <c r="AF134" s="15">
        <f t="shared" si="8"/>
        <v>120</v>
      </c>
      <c r="AG134" s="15">
        <f t="shared" si="9"/>
        <v>-1</v>
      </c>
    </row>
    <row r="135" spans="31:33" x14ac:dyDescent="0.2">
      <c r="AE135" s="99">
        <f t="shared" si="10"/>
        <v>-120</v>
      </c>
      <c r="AF135" s="15">
        <f t="shared" si="8"/>
        <v>121</v>
      </c>
      <c r="AG135" s="15">
        <f t="shared" si="9"/>
        <v>-1</v>
      </c>
    </row>
    <row r="136" spans="31:33" x14ac:dyDescent="0.2">
      <c r="AE136" s="99">
        <f t="shared" si="10"/>
        <v>-121</v>
      </c>
      <c r="AF136" s="15">
        <f t="shared" si="8"/>
        <v>122</v>
      </c>
      <c r="AG136" s="15">
        <f t="shared" si="9"/>
        <v>-1</v>
      </c>
    </row>
    <row r="137" spans="31:33" x14ac:dyDescent="0.2">
      <c r="AE137" s="99">
        <f t="shared" si="10"/>
        <v>-122</v>
      </c>
      <c r="AF137" s="15">
        <f t="shared" si="8"/>
        <v>123</v>
      </c>
      <c r="AG137" s="15">
        <f t="shared" si="9"/>
        <v>-1</v>
      </c>
    </row>
    <row r="138" spans="31:33" x14ac:dyDescent="0.2">
      <c r="AE138" s="99">
        <f t="shared" si="10"/>
        <v>-123</v>
      </c>
      <c r="AF138" s="15">
        <f t="shared" si="8"/>
        <v>124</v>
      </c>
      <c r="AG138" s="15">
        <f t="shared" si="9"/>
        <v>-1</v>
      </c>
    </row>
    <row r="139" spans="31:33" x14ac:dyDescent="0.2">
      <c r="AE139" s="99">
        <f t="shared" si="10"/>
        <v>-124</v>
      </c>
      <c r="AF139" s="15">
        <f t="shared" si="8"/>
        <v>125</v>
      </c>
      <c r="AG139" s="15">
        <f t="shared" si="9"/>
        <v>-1</v>
      </c>
    </row>
    <row r="140" spans="31:33" x14ac:dyDescent="0.2">
      <c r="AE140" s="99">
        <f t="shared" si="10"/>
        <v>-125</v>
      </c>
      <c r="AF140" s="15">
        <f t="shared" si="8"/>
        <v>126</v>
      </c>
      <c r="AG140" s="15">
        <f t="shared" si="9"/>
        <v>-1</v>
      </c>
    </row>
    <row r="141" spans="31:33" x14ac:dyDescent="0.2">
      <c r="AE141" s="99">
        <f t="shared" si="10"/>
        <v>-126</v>
      </c>
      <c r="AF141" s="15">
        <f t="shared" si="8"/>
        <v>127</v>
      </c>
      <c r="AG141" s="15">
        <f t="shared" si="9"/>
        <v>-1</v>
      </c>
    </row>
    <row r="142" spans="31:33" x14ac:dyDescent="0.2">
      <c r="AE142" s="99">
        <f t="shared" si="10"/>
        <v>-127</v>
      </c>
      <c r="AF142" s="15">
        <f t="shared" si="8"/>
        <v>128</v>
      </c>
      <c r="AG142" s="15">
        <f t="shared" si="9"/>
        <v>-1</v>
      </c>
    </row>
    <row r="143" spans="31:33" x14ac:dyDescent="0.2">
      <c r="AE143" s="99">
        <f t="shared" si="10"/>
        <v>-128</v>
      </c>
      <c r="AF143" s="15">
        <f t="shared" si="8"/>
        <v>129</v>
      </c>
      <c r="AG143" s="15">
        <f t="shared" si="9"/>
        <v>-1</v>
      </c>
    </row>
    <row r="144" spans="31:33" x14ac:dyDescent="0.2">
      <c r="AE144" s="99">
        <f t="shared" si="10"/>
        <v>-129</v>
      </c>
      <c r="AF144" s="15">
        <f t="shared" si="8"/>
        <v>130</v>
      </c>
      <c r="AG144" s="15">
        <f t="shared" si="9"/>
        <v>-1</v>
      </c>
    </row>
    <row r="145" spans="31:33" x14ac:dyDescent="0.2">
      <c r="AE145" s="99">
        <f t="shared" si="10"/>
        <v>-130</v>
      </c>
      <c r="AF145" s="15">
        <f t="shared" si="8"/>
        <v>131</v>
      </c>
      <c r="AG145" s="15">
        <f t="shared" si="9"/>
        <v>-1</v>
      </c>
    </row>
    <row r="146" spans="31:33" x14ac:dyDescent="0.2">
      <c r="AE146" s="99">
        <f t="shared" si="10"/>
        <v>-131</v>
      </c>
      <c r="AF146" s="15">
        <f t="shared" si="8"/>
        <v>132</v>
      </c>
      <c r="AG146" s="15">
        <f t="shared" si="9"/>
        <v>-1</v>
      </c>
    </row>
    <row r="147" spans="31:33" x14ac:dyDescent="0.2">
      <c r="AE147" s="99">
        <f t="shared" si="10"/>
        <v>-132</v>
      </c>
      <c r="AF147" s="15">
        <f t="shared" si="8"/>
        <v>133</v>
      </c>
      <c r="AG147" s="15">
        <f t="shared" si="9"/>
        <v>-1</v>
      </c>
    </row>
    <row r="148" spans="31:33" x14ac:dyDescent="0.2">
      <c r="AE148" s="99">
        <f t="shared" si="10"/>
        <v>-133</v>
      </c>
      <c r="AF148" s="15">
        <f t="shared" si="8"/>
        <v>134</v>
      </c>
      <c r="AG148" s="15">
        <f t="shared" si="9"/>
        <v>-1</v>
      </c>
    </row>
    <row r="149" spans="31:33" x14ac:dyDescent="0.2">
      <c r="AE149" s="99">
        <f t="shared" si="10"/>
        <v>-134</v>
      </c>
      <c r="AF149" s="15">
        <f t="shared" si="8"/>
        <v>135</v>
      </c>
      <c r="AG149" s="15">
        <f t="shared" si="9"/>
        <v>-1</v>
      </c>
    </row>
    <row r="150" spans="31:33" x14ac:dyDescent="0.2">
      <c r="AE150" s="99">
        <f t="shared" si="10"/>
        <v>-135</v>
      </c>
      <c r="AF150" s="15">
        <f t="shared" si="8"/>
        <v>136</v>
      </c>
      <c r="AG150" s="15">
        <f t="shared" si="9"/>
        <v>-1</v>
      </c>
    </row>
    <row r="151" spans="31:33" x14ac:dyDescent="0.2">
      <c r="AE151" s="99">
        <f t="shared" si="10"/>
        <v>-136</v>
      </c>
      <c r="AF151" s="15">
        <f t="shared" si="8"/>
        <v>137</v>
      </c>
      <c r="AG151" s="15">
        <f t="shared" si="9"/>
        <v>-1</v>
      </c>
    </row>
    <row r="152" spans="31:33" x14ac:dyDescent="0.2">
      <c r="AE152" s="99">
        <f t="shared" si="10"/>
        <v>-137</v>
      </c>
      <c r="AF152" s="15">
        <f t="shared" si="8"/>
        <v>138</v>
      </c>
      <c r="AG152" s="15">
        <f t="shared" si="9"/>
        <v>-1</v>
      </c>
    </row>
    <row r="153" spans="31:33" x14ac:dyDescent="0.2">
      <c r="AE153" s="99">
        <f t="shared" si="10"/>
        <v>-138</v>
      </c>
      <c r="AF153" s="15">
        <f t="shared" si="8"/>
        <v>139</v>
      </c>
      <c r="AG153" s="15">
        <f t="shared" si="9"/>
        <v>-1</v>
      </c>
    </row>
    <row r="154" spans="31:33" x14ac:dyDescent="0.2">
      <c r="AE154" s="99">
        <f t="shared" si="10"/>
        <v>-139</v>
      </c>
      <c r="AF154" s="15">
        <f t="shared" si="8"/>
        <v>140</v>
      </c>
      <c r="AG154" s="15">
        <f t="shared" si="9"/>
        <v>-1</v>
      </c>
    </row>
    <row r="155" spans="31:33" x14ac:dyDescent="0.2">
      <c r="AE155" s="99">
        <f t="shared" si="10"/>
        <v>-140</v>
      </c>
      <c r="AF155" s="15">
        <f t="shared" si="8"/>
        <v>141</v>
      </c>
      <c r="AG155" s="15">
        <f t="shared" si="9"/>
        <v>-1</v>
      </c>
    </row>
    <row r="156" spans="31:33" x14ac:dyDescent="0.2">
      <c r="AE156" s="99">
        <f t="shared" si="10"/>
        <v>-141</v>
      </c>
      <c r="AF156" s="15">
        <f t="shared" si="8"/>
        <v>142</v>
      </c>
      <c r="AG156" s="15">
        <f t="shared" si="9"/>
        <v>-1</v>
      </c>
    </row>
    <row r="157" spans="31:33" x14ac:dyDescent="0.2">
      <c r="AE157" s="99">
        <f t="shared" si="10"/>
        <v>-142</v>
      </c>
      <c r="AF157" s="15">
        <f t="shared" si="8"/>
        <v>143</v>
      </c>
      <c r="AG157" s="15">
        <f t="shared" si="9"/>
        <v>-1</v>
      </c>
    </row>
    <row r="158" spans="31:33" x14ac:dyDescent="0.2">
      <c r="AE158" s="99">
        <f t="shared" si="10"/>
        <v>-143</v>
      </c>
      <c r="AF158" s="15">
        <f t="shared" si="8"/>
        <v>144</v>
      </c>
      <c r="AG158" s="15">
        <f t="shared" si="9"/>
        <v>-1</v>
      </c>
    </row>
    <row r="159" spans="31:33" x14ac:dyDescent="0.2">
      <c r="AE159" s="99">
        <f t="shared" si="10"/>
        <v>-144</v>
      </c>
      <c r="AF159" s="15">
        <f t="shared" si="8"/>
        <v>145</v>
      </c>
      <c r="AG159" s="15">
        <f t="shared" si="9"/>
        <v>-1</v>
      </c>
    </row>
    <row r="160" spans="31:33" x14ac:dyDescent="0.2">
      <c r="AE160" s="99">
        <f t="shared" si="10"/>
        <v>-145</v>
      </c>
      <c r="AF160" s="15">
        <f t="shared" si="8"/>
        <v>146</v>
      </c>
      <c r="AG160" s="15">
        <f t="shared" si="9"/>
        <v>-1</v>
      </c>
    </row>
    <row r="161" spans="31:33" x14ac:dyDescent="0.2">
      <c r="AE161" s="99">
        <f t="shared" si="10"/>
        <v>-146</v>
      </c>
      <c r="AF161" s="15">
        <f t="shared" si="8"/>
        <v>147</v>
      </c>
      <c r="AG161" s="15">
        <f t="shared" si="9"/>
        <v>-1</v>
      </c>
    </row>
    <row r="162" spans="31:33" x14ac:dyDescent="0.2">
      <c r="AE162" s="99">
        <f t="shared" si="10"/>
        <v>-147</v>
      </c>
      <c r="AF162" s="15">
        <f t="shared" si="8"/>
        <v>148</v>
      </c>
      <c r="AG162" s="15">
        <f t="shared" si="9"/>
        <v>-1</v>
      </c>
    </row>
    <row r="163" spans="31:33" x14ac:dyDescent="0.2">
      <c r="AE163" s="99">
        <f t="shared" si="10"/>
        <v>-148</v>
      </c>
      <c r="AF163" s="15">
        <f t="shared" si="8"/>
        <v>149</v>
      </c>
      <c r="AG163" s="15">
        <f t="shared" si="9"/>
        <v>-1</v>
      </c>
    </row>
    <row r="164" spans="31:33" x14ac:dyDescent="0.2">
      <c r="AE164" s="99">
        <f t="shared" si="10"/>
        <v>-149</v>
      </c>
      <c r="AF164" s="15">
        <f t="shared" si="8"/>
        <v>150</v>
      </c>
      <c r="AG164" s="15">
        <f t="shared" si="9"/>
        <v>-1</v>
      </c>
    </row>
    <row r="165" spans="31:33" x14ac:dyDescent="0.2">
      <c r="AE165" s="99">
        <f t="shared" si="10"/>
        <v>-150</v>
      </c>
      <c r="AF165" s="15">
        <f t="shared" si="8"/>
        <v>151</v>
      </c>
      <c r="AG165" s="15">
        <f t="shared" si="9"/>
        <v>-1</v>
      </c>
    </row>
    <row r="166" spans="31:33" x14ac:dyDescent="0.2">
      <c r="AE166" s="99">
        <f t="shared" si="10"/>
        <v>-151</v>
      </c>
      <c r="AF166" s="15">
        <f t="shared" si="8"/>
        <v>152</v>
      </c>
      <c r="AG166" s="15">
        <f t="shared" si="9"/>
        <v>-1</v>
      </c>
    </row>
    <row r="167" spans="31:33" x14ac:dyDescent="0.2">
      <c r="AE167" s="99">
        <f t="shared" si="10"/>
        <v>-152</v>
      </c>
      <c r="AF167" s="15">
        <f t="shared" si="8"/>
        <v>153</v>
      </c>
      <c r="AG167" s="15">
        <f t="shared" si="9"/>
        <v>-1</v>
      </c>
    </row>
    <row r="168" spans="31:33" x14ac:dyDescent="0.2">
      <c r="AE168" s="99">
        <f t="shared" si="10"/>
        <v>-153</v>
      </c>
      <c r="AF168" s="15">
        <f t="shared" si="8"/>
        <v>154</v>
      </c>
      <c r="AG168" s="15">
        <f t="shared" si="9"/>
        <v>-1</v>
      </c>
    </row>
    <row r="169" spans="31:33" x14ac:dyDescent="0.2">
      <c r="AE169" s="99">
        <f t="shared" si="10"/>
        <v>-154</v>
      </c>
      <c r="AF169" s="15">
        <f t="shared" si="8"/>
        <v>155</v>
      </c>
      <c r="AG169" s="15">
        <f t="shared" si="9"/>
        <v>-1</v>
      </c>
    </row>
    <row r="170" spans="31:33" x14ac:dyDescent="0.2">
      <c r="AE170" s="99">
        <f t="shared" si="10"/>
        <v>-155</v>
      </c>
      <c r="AF170" s="15">
        <f t="shared" si="8"/>
        <v>156</v>
      </c>
      <c r="AG170" s="15">
        <f t="shared" si="9"/>
        <v>-1</v>
      </c>
    </row>
    <row r="171" spans="31:33" x14ac:dyDescent="0.2">
      <c r="AE171" s="99">
        <f t="shared" si="10"/>
        <v>-156</v>
      </c>
      <c r="AF171" s="15">
        <f t="shared" si="8"/>
        <v>157</v>
      </c>
      <c r="AG171" s="15">
        <f t="shared" si="9"/>
        <v>-1</v>
      </c>
    </row>
    <row r="172" spans="31:33" x14ac:dyDescent="0.2">
      <c r="AE172" s="99">
        <f t="shared" si="10"/>
        <v>-157</v>
      </c>
      <c r="AF172" s="15">
        <f t="shared" si="8"/>
        <v>158</v>
      </c>
      <c r="AG172" s="15">
        <f t="shared" si="9"/>
        <v>-1</v>
      </c>
    </row>
    <row r="173" spans="31:33" x14ac:dyDescent="0.2">
      <c r="AE173" s="99">
        <f t="shared" si="10"/>
        <v>-158</v>
      </c>
      <c r="AF173" s="15">
        <f t="shared" si="8"/>
        <v>159</v>
      </c>
      <c r="AG173" s="15">
        <f t="shared" si="9"/>
        <v>-1</v>
      </c>
    </row>
    <row r="174" spans="31:33" x14ac:dyDescent="0.2">
      <c r="AE174" s="99">
        <f t="shared" si="10"/>
        <v>-159</v>
      </c>
      <c r="AF174" s="15">
        <f t="shared" si="8"/>
        <v>160</v>
      </c>
      <c r="AG174" s="15">
        <f t="shared" si="9"/>
        <v>-1</v>
      </c>
    </row>
    <row r="175" spans="31:33" x14ac:dyDescent="0.2">
      <c r="AE175" s="99">
        <f t="shared" si="10"/>
        <v>-160</v>
      </c>
      <c r="AF175" s="15">
        <f t="shared" si="8"/>
        <v>161</v>
      </c>
      <c r="AG175" s="15">
        <f t="shared" si="9"/>
        <v>-1</v>
      </c>
    </row>
    <row r="176" spans="31:33" x14ac:dyDescent="0.2">
      <c r="AE176" s="99">
        <f t="shared" si="10"/>
        <v>-161</v>
      </c>
      <c r="AF176" s="15">
        <f t="shared" si="8"/>
        <v>162</v>
      </c>
      <c r="AG176" s="15">
        <f t="shared" si="9"/>
        <v>-1</v>
      </c>
    </row>
    <row r="177" spans="31:33" x14ac:dyDescent="0.2">
      <c r="AE177" s="99">
        <f t="shared" si="10"/>
        <v>-162</v>
      </c>
      <c r="AF177" s="15">
        <f t="shared" si="8"/>
        <v>163</v>
      </c>
      <c r="AG177" s="15">
        <f t="shared" si="9"/>
        <v>-1</v>
      </c>
    </row>
    <row r="178" spans="31:33" x14ac:dyDescent="0.2">
      <c r="AE178" s="99">
        <f t="shared" si="10"/>
        <v>-163</v>
      </c>
      <c r="AF178" s="15">
        <f t="shared" si="8"/>
        <v>164</v>
      </c>
      <c r="AG178" s="15">
        <f t="shared" si="9"/>
        <v>-1</v>
      </c>
    </row>
    <row r="179" spans="31:33" x14ac:dyDescent="0.2">
      <c r="AE179" s="99">
        <f t="shared" si="10"/>
        <v>-164</v>
      </c>
      <c r="AF179" s="15">
        <f t="shared" si="8"/>
        <v>165</v>
      </c>
      <c r="AG179" s="15">
        <f t="shared" si="9"/>
        <v>-1</v>
      </c>
    </row>
    <row r="180" spans="31:33" x14ac:dyDescent="0.2">
      <c r="AE180" s="99">
        <f t="shared" si="10"/>
        <v>-165</v>
      </c>
      <c r="AF180" s="15">
        <f t="shared" si="8"/>
        <v>166</v>
      </c>
      <c r="AG180" s="15">
        <f t="shared" si="9"/>
        <v>-1</v>
      </c>
    </row>
    <row r="181" spans="31:33" x14ac:dyDescent="0.2">
      <c r="AE181" s="99">
        <f t="shared" si="10"/>
        <v>-166</v>
      </c>
      <c r="AF181" s="15">
        <f t="shared" si="8"/>
        <v>167</v>
      </c>
      <c r="AG181" s="15">
        <f t="shared" si="9"/>
        <v>-1</v>
      </c>
    </row>
    <row r="182" spans="31:33" x14ac:dyDescent="0.2">
      <c r="AE182" s="99">
        <f t="shared" si="10"/>
        <v>-167</v>
      </c>
      <c r="AF182" s="15">
        <f t="shared" si="8"/>
        <v>168</v>
      </c>
      <c r="AG182" s="15">
        <f t="shared" si="9"/>
        <v>-1</v>
      </c>
    </row>
    <row r="183" spans="31:33" x14ac:dyDescent="0.2">
      <c r="AE183" s="99">
        <f t="shared" si="10"/>
        <v>-168</v>
      </c>
      <c r="AF183" s="15">
        <f t="shared" si="8"/>
        <v>169</v>
      </c>
      <c r="AG183" s="15">
        <f t="shared" si="9"/>
        <v>-1</v>
      </c>
    </row>
    <row r="184" spans="31:33" x14ac:dyDescent="0.2">
      <c r="AE184" s="99">
        <f t="shared" si="10"/>
        <v>-169</v>
      </c>
      <c r="AF184" s="15">
        <f t="shared" si="8"/>
        <v>170</v>
      </c>
      <c r="AG184" s="15">
        <f t="shared" si="9"/>
        <v>-1</v>
      </c>
    </row>
    <row r="185" spans="31:33" x14ac:dyDescent="0.2">
      <c r="AE185" s="99">
        <f t="shared" si="10"/>
        <v>-170</v>
      </c>
      <c r="AF185" s="15">
        <f t="shared" si="8"/>
        <v>171</v>
      </c>
      <c r="AG185" s="15">
        <f t="shared" si="9"/>
        <v>-1</v>
      </c>
    </row>
    <row r="186" spans="31:33" x14ac:dyDescent="0.2">
      <c r="AE186" s="99">
        <f t="shared" si="10"/>
        <v>-171</v>
      </c>
      <c r="AF186" s="15">
        <f t="shared" si="8"/>
        <v>172</v>
      </c>
      <c r="AG186" s="15">
        <f t="shared" si="9"/>
        <v>-1</v>
      </c>
    </row>
    <row r="187" spans="31:33" x14ac:dyDescent="0.2">
      <c r="AE187" s="99">
        <f t="shared" si="10"/>
        <v>-172</v>
      </c>
      <c r="AF187" s="15">
        <f t="shared" si="8"/>
        <v>173</v>
      </c>
      <c r="AG187" s="15">
        <f t="shared" si="9"/>
        <v>-1</v>
      </c>
    </row>
    <row r="188" spans="31:33" x14ac:dyDescent="0.2">
      <c r="AE188" s="99">
        <f t="shared" si="10"/>
        <v>-173</v>
      </c>
      <c r="AF188" s="15">
        <f t="shared" si="8"/>
        <v>174</v>
      </c>
      <c r="AG188" s="15">
        <f t="shared" si="9"/>
        <v>-1</v>
      </c>
    </row>
    <row r="189" spans="31:33" x14ac:dyDescent="0.2">
      <c r="AE189" s="99">
        <f t="shared" si="10"/>
        <v>-174</v>
      </c>
      <c r="AF189" s="15">
        <f t="shared" si="8"/>
        <v>175</v>
      </c>
      <c r="AG189" s="15">
        <f t="shared" si="9"/>
        <v>-1</v>
      </c>
    </row>
    <row r="190" spans="31:33" x14ac:dyDescent="0.2">
      <c r="AE190" s="99">
        <f t="shared" si="10"/>
        <v>-175</v>
      </c>
      <c r="AF190" s="15">
        <f t="shared" si="8"/>
        <v>176</v>
      </c>
      <c r="AG190" s="15">
        <f t="shared" si="9"/>
        <v>-1</v>
      </c>
    </row>
    <row r="191" spans="31:33" x14ac:dyDescent="0.2">
      <c r="AE191" s="99">
        <f t="shared" si="10"/>
        <v>-176</v>
      </c>
      <c r="AF191" s="15">
        <f t="shared" si="8"/>
        <v>177</v>
      </c>
      <c r="AG191" s="15">
        <f t="shared" si="9"/>
        <v>-1</v>
      </c>
    </row>
    <row r="192" spans="31:33" x14ac:dyDescent="0.2">
      <c r="AE192" s="99">
        <f t="shared" si="10"/>
        <v>-177</v>
      </c>
      <c r="AF192" s="15">
        <f t="shared" si="8"/>
        <v>178</v>
      </c>
      <c r="AG192" s="15">
        <f t="shared" si="9"/>
        <v>-1</v>
      </c>
    </row>
    <row r="193" spans="31:33" x14ac:dyDescent="0.2">
      <c r="AE193" s="99">
        <f t="shared" si="10"/>
        <v>-178</v>
      </c>
      <c r="AF193" s="15">
        <f t="shared" si="8"/>
        <v>179</v>
      </c>
      <c r="AG193" s="15">
        <f t="shared" si="9"/>
        <v>-1</v>
      </c>
    </row>
    <row r="194" spans="31:33" x14ac:dyDescent="0.2">
      <c r="AE194" s="99">
        <f t="shared" si="10"/>
        <v>-179</v>
      </c>
      <c r="AF194" s="15">
        <f t="shared" si="8"/>
        <v>180</v>
      </c>
      <c r="AG194" s="15">
        <f t="shared" si="9"/>
        <v>-1</v>
      </c>
    </row>
    <row r="195" spans="31:33" x14ac:dyDescent="0.2">
      <c r="AE195" s="99">
        <f t="shared" si="10"/>
        <v>-180</v>
      </c>
      <c r="AF195" s="15">
        <f t="shared" si="8"/>
        <v>181</v>
      </c>
      <c r="AG195" s="15">
        <f t="shared" si="9"/>
        <v>-1</v>
      </c>
    </row>
    <row r="196" spans="31:33" x14ac:dyDescent="0.2">
      <c r="AE196" s="99">
        <f t="shared" si="10"/>
        <v>-181</v>
      </c>
      <c r="AF196" s="15">
        <f t="shared" ref="AF196:AF259" si="11">IF(AF195&gt;=1,AF195+1,IF(AE196=0,1,-1))</f>
        <v>182</v>
      </c>
      <c r="AG196" s="15">
        <f t="shared" ref="AG196:AG259" si="12">IF(AND(AG195&gt;=1,AG195&lt;$AB$3),AG195+1,IF(AE196=0,1,-1))</f>
        <v>-1</v>
      </c>
    </row>
    <row r="197" spans="31:33" x14ac:dyDescent="0.2">
      <c r="AE197" s="99">
        <f t="shared" ref="AE197:AE260" si="13">AE196-1</f>
        <v>-182</v>
      </c>
      <c r="AF197" s="15">
        <f t="shared" si="11"/>
        <v>183</v>
      </c>
      <c r="AG197" s="15">
        <f t="shared" si="12"/>
        <v>-1</v>
      </c>
    </row>
    <row r="198" spans="31:33" x14ac:dyDescent="0.2">
      <c r="AE198" s="99">
        <f t="shared" si="13"/>
        <v>-183</v>
      </c>
      <c r="AF198" s="15">
        <f t="shared" si="11"/>
        <v>184</v>
      </c>
      <c r="AG198" s="15">
        <f t="shared" si="12"/>
        <v>-1</v>
      </c>
    </row>
    <row r="199" spans="31:33" x14ac:dyDescent="0.2">
      <c r="AE199" s="99">
        <f t="shared" si="13"/>
        <v>-184</v>
      </c>
      <c r="AF199" s="15">
        <f t="shared" si="11"/>
        <v>185</v>
      </c>
      <c r="AG199" s="15">
        <f t="shared" si="12"/>
        <v>-1</v>
      </c>
    </row>
    <row r="200" spans="31:33" x14ac:dyDescent="0.2">
      <c r="AE200" s="99">
        <f t="shared" si="13"/>
        <v>-185</v>
      </c>
      <c r="AF200" s="15">
        <f t="shared" si="11"/>
        <v>186</v>
      </c>
      <c r="AG200" s="15">
        <f t="shared" si="12"/>
        <v>-1</v>
      </c>
    </row>
    <row r="201" spans="31:33" x14ac:dyDescent="0.2">
      <c r="AE201" s="99">
        <f t="shared" si="13"/>
        <v>-186</v>
      </c>
      <c r="AF201" s="15">
        <f t="shared" si="11"/>
        <v>187</v>
      </c>
      <c r="AG201" s="15">
        <f t="shared" si="12"/>
        <v>-1</v>
      </c>
    </row>
    <row r="202" spans="31:33" x14ac:dyDescent="0.2">
      <c r="AE202" s="99">
        <f t="shared" si="13"/>
        <v>-187</v>
      </c>
      <c r="AF202" s="15">
        <f t="shared" si="11"/>
        <v>188</v>
      </c>
      <c r="AG202" s="15">
        <f t="shared" si="12"/>
        <v>-1</v>
      </c>
    </row>
    <row r="203" spans="31:33" x14ac:dyDescent="0.2">
      <c r="AE203" s="99">
        <f t="shared" si="13"/>
        <v>-188</v>
      </c>
      <c r="AF203" s="15">
        <f t="shared" si="11"/>
        <v>189</v>
      </c>
      <c r="AG203" s="15">
        <f t="shared" si="12"/>
        <v>-1</v>
      </c>
    </row>
    <row r="204" spans="31:33" x14ac:dyDescent="0.2">
      <c r="AE204" s="99">
        <f t="shared" si="13"/>
        <v>-189</v>
      </c>
      <c r="AF204" s="15">
        <f t="shared" si="11"/>
        <v>190</v>
      </c>
      <c r="AG204" s="15">
        <f t="shared" si="12"/>
        <v>-1</v>
      </c>
    </row>
    <row r="205" spans="31:33" x14ac:dyDescent="0.2">
      <c r="AE205" s="99">
        <f t="shared" si="13"/>
        <v>-190</v>
      </c>
      <c r="AF205" s="15">
        <f t="shared" si="11"/>
        <v>191</v>
      </c>
      <c r="AG205" s="15">
        <f t="shared" si="12"/>
        <v>-1</v>
      </c>
    </row>
    <row r="206" spans="31:33" x14ac:dyDescent="0.2">
      <c r="AE206" s="99">
        <f t="shared" si="13"/>
        <v>-191</v>
      </c>
      <c r="AF206" s="15">
        <f t="shared" si="11"/>
        <v>192</v>
      </c>
      <c r="AG206" s="15">
        <f t="shared" si="12"/>
        <v>-1</v>
      </c>
    </row>
    <row r="207" spans="31:33" x14ac:dyDescent="0.2">
      <c r="AE207" s="99">
        <f t="shared" si="13"/>
        <v>-192</v>
      </c>
      <c r="AF207" s="15">
        <f t="shared" si="11"/>
        <v>193</v>
      </c>
      <c r="AG207" s="15">
        <f t="shared" si="12"/>
        <v>-1</v>
      </c>
    </row>
    <row r="208" spans="31:33" x14ac:dyDescent="0.2">
      <c r="AE208" s="99">
        <f t="shared" si="13"/>
        <v>-193</v>
      </c>
      <c r="AF208" s="15">
        <f t="shared" si="11"/>
        <v>194</v>
      </c>
      <c r="AG208" s="15">
        <f t="shared" si="12"/>
        <v>-1</v>
      </c>
    </row>
    <row r="209" spans="31:33" x14ac:dyDescent="0.2">
      <c r="AE209" s="99">
        <f t="shared" si="13"/>
        <v>-194</v>
      </c>
      <c r="AF209" s="15">
        <f t="shared" si="11"/>
        <v>195</v>
      </c>
      <c r="AG209" s="15">
        <f t="shared" si="12"/>
        <v>-1</v>
      </c>
    </row>
    <row r="210" spans="31:33" x14ac:dyDescent="0.2">
      <c r="AE210" s="99">
        <f t="shared" si="13"/>
        <v>-195</v>
      </c>
      <c r="AF210" s="15">
        <f t="shared" si="11"/>
        <v>196</v>
      </c>
      <c r="AG210" s="15">
        <f t="shared" si="12"/>
        <v>-1</v>
      </c>
    </row>
    <row r="211" spans="31:33" x14ac:dyDescent="0.2">
      <c r="AE211" s="99">
        <f t="shared" si="13"/>
        <v>-196</v>
      </c>
      <c r="AF211" s="15">
        <f t="shared" si="11"/>
        <v>197</v>
      </c>
      <c r="AG211" s="15">
        <f t="shared" si="12"/>
        <v>-1</v>
      </c>
    </row>
    <row r="212" spans="31:33" x14ac:dyDescent="0.2">
      <c r="AE212" s="99">
        <f t="shared" si="13"/>
        <v>-197</v>
      </c>
      <c r="AF212" s="15">
        <f t="shared" si="11"/>
        <v>198</v>
      </c>
      <c r="AG212" s="15">
        <f t="shared" si="12"/>
        <v>-1</v>
      </c>
    </row>
    <row r="213" spans="31:33" x14ac:dyDescent="0.2">
      <c r="AE213" s="99">
        <f t="shared" si="13"/>
        <v>-198</v>
      </c>
      <c r="AF213" s="15">
        <f t="shared" si="11"/>
        <v>199</v>
      </c>
      <c r="AG213" s="15">
        <f t="shared" si="12"/>
        <v>-1</v>
      </c>
    </row>
    <row r="214" spans="31:33" x14ac:dyDescent="0.2">
      <c r="AE214" s="99">
        <f t="shared" si="13"/>
        <v>-199</v>
      </c>
      <c r="AF214" s="15">
        <f t="shared" si="11"/>
        <v>200</v>
      </c>
      <c r="AG214" s="15">
        <f t="shared" si="12"/>
        <v>-1</v>
      </c>
    </row>
    <row r="215" spans="31:33" x14ac:dyDescent="0.2">
      <c r="AE215" s="99">
        <f t="shared" si="13"/>
        <v>-200</v>
      </c>
      <c r="AF215" s="15">
        <f t="shared" si="11"/>
        <v>201</v>
      </c>
      <c r="AG215" s="15">
        <f t="shared" si="12"/>
        <v>-1</v>
      </c>
    </row>
    <row r="216" spans="31:33" x14ac:dyDescent="0.2">
      <c r="AE216" s="99">
        <f t="shared" si="13"/>
        <v>-201</v>
      </c>
      <c r="AF216" s="15">
        <f t="shared" si="11"/>
        <v>202</v>
      </c>
      <c r="AG216" s="15">
        <f t="shared" si="12"/>
        <v>-1</v>
      </c>
    </row>
    <row r="217" spans="31:33" x14ac:dyDescent="0.2">
      <c r="AE217" s="99">
        <f t="shared" si="13"/>
        <v>-202</v>
      </c>
      <c r="AF217" s="15">
        <f t="shared" si="11"/>
        <v>203</v>
      </c>
      <c r="AG217" s="15">
        <f t="shared" si="12"/>
        <v>-1</v>
      </c>
    </row>
    <row r="218" spans="31:33" x14ac:dyDescent="0.2">
      <c r="AE218" s="99">
        <f t="shared" si="13"/>
        <v>-203</v>
      </c>
      <c r="AF218" s="15">
        <f t="shared" si="11"/>
        <v>204</v>
      </c>
      <c r="AG218" s="15">
        <f t="shared" si="12"/>
        <v>-1</v>
      </c>
    </row>
    <row r="219" spans="31:33" x14ac:dyDescent="0.2">
      <c r="AE219" s="99">
        <f t="shared" si="13"/>
        <v>-204</v>
      </c>
      <c r="AF219" s="15">
        <f t="shared" si="11"/>
        <v>205</v>
      </c>
      <c r="AG219" s="15">
        <f t="shared" si="12"/>
        <v>-1</v>
      </c>
    </row>
    <row r="220" spans="31:33" x14ac:dyDescent="0.2">
      <c r="AE220" s="99">
        <f t="shared" si="13"/>
        <v>-205</v>
      </c>
      <c r="AF220" s="15">
        <f t="shared" si="11"/>
        <v>206</v>
      </c>
      <c r="AG220" s="15">
        <f t="shared" si="12"/>
        <v>-1</v>
      </c>
    </row>
    <row r="221" spans="31:33" x14ac:dyDescent="0.2">
      <c r="AE221" s="99">
        <f t="shared" si="13"/>
        <v>-206</v>
      </c>
      <c r="AF221" s="15">
        <f t="shared" si="11"/>
        <v>207</v>
      </c>
      <c r="AG221" s="15">
        <f t="shared" si="12"/>
        <v>-1</v>
      </c>
    </row>
    <row r="222" spans="31:33" x14ac:dyDescent="0.2">
      <c r="AE222" s="99">
        <f t="shared" si="13"/>
        <v>-207</v>
      </c>
      <c r="AF222" s="15">
        <f t="shared" si="11"/>
        <v>208</v>
      </c>
      <c r="AG222" s="15">
        <f t="shared" si="12"/>
        <v>-1</v>
      </c>
    </row>
    <row r="223" spans="31:33" x14ac:dyDescent="0.2">
      <c r="AE223" s="99">
        <f t="shared" si="13"/>
        <v>-208</v>
      </c>
      <c r="AF223" s="15">
        <f t="shared" si="11"/>
        <v>209</v>
      </c>
      <c r="AG223" s="15">
        <f t="shared" si="12"/>
        <v>-1</v>
      </c>
    </row>
    <row r="224" spans="31:33" x14ac:dyDescent="0.2">
      <c r="AE224" s="99">
        <f t="shared" si="13"/>
        <v>-209</v>
      </c>
      <c r="AF224" s="15">
        <f t="shared" si="11"/>
        <v>210</v>
      </c>
      <c r="AG224" s="15">
        <f t="shared" si="12"/>
        <v>-1</v>
      </c>
    </row>
    <row r="225" spans="31:33" x14ac:dyDescent="0.2">
      <c r="AE225" s="99">
        <f t="shared" si="13"/>
        <v>-210</v>
      </c>
      <c r="AF225" s="15">
        <f t="shared" si="11"/>
        <v>211</v>
      </c>
      <c r="AG225" s="15">
        <f t="shared" si="12"/>
        <v>-1</v>
      </c>
    </row>
    <row r="226" spans="31:33" x14ac:dyDescent="0.2">
      <c r="AE226" s="99">
        <f t="shared" si="13"/>
        <v>-211</v>
      </c>
      <c r="AF226" s="15">
        <f t="shared" si="11"/>
        <v>212</v>
      </c>
      <c r="AG226" s="15">
        <f t="shared" si="12"/>
        <v>-1</v>
      </c>
    </row>
    <row r="227" spans="31:33" x14ac:dyDescent="0.2">
      <c r="AE227" s="99">
        <f t="shared" si="13"/>
        <v>-212</v>
      </c>
      <c r="AF227" s="15">
        <f t="shared" si="11"/>
        <v>213</v>
      </c>
      <c r="AG227" s="15">
        <f t="shared" si="12"/>
        <v>-1</v>
      </c>
    </row>
    <row r="228" spans="31:33" x14ac:dyDescent="0.2">
      <c r="AE228" s="99">
        <f t="shared" si="13"/>
        <v>-213</v>
      </c>
      <c r="AF228" s="15">
        <f t="shared" si="11"/>
        <v>214</v>
      </c>
      <c r="AG228" s="15">
        <f t="shared" si="12"/>
        <v>-1</v>
      </c>
    </row>
    <row r="229" spans="31:33" x14ac:dyDescent="0.2">
      <c r="AE229" s="99">
        <f t="shared" si="13"/>
        <v>-214</v>
      </c>
      <c r="AF229" s="15">
        <f t="shared" si="11"/>
        <v>215</v>
      </c>
      <c r="AG229" s="15">
        <f t="shared" si="12"/>
        <v>-1</v>
      </c>
    </row>
    <row r="230" spans="31:33" x14ac:dyDescent="0.2">
      <c r="AE230" s="99">
        <f t="shared" si="13"/>
        <v>-215</v>
      </c>
      <c r="AF230" s="15">
        <f t="shared" si="11"/>
        <v>216</v>
      </c>
      <c r="AG230" s="15">
        <f t="shared" si="12"/>
        <v>-1</v>
      </c>
    </row>
    <row r="231" spans="31:33" x14ac:dyDescent="0.2">
      <c r="AE231" s="99">
        <f t="shared" si="13"/>
        <v>-216</v>
      </c>
      <c r="AF231" s="15">
        <f t="shared" si="11"/>
        <v>217</v>
      </c>
      <c r="AG231" s="15">
        <f t="shared" si="12"/>
        <v>-1</v>
      </c>
    </row>
    <row r="232" spans="31:33" x14ac:dyDescent="0.2">
      <c r="AE232" s="99">
        <f t="shared" si="13"/>
        <v>-217</v>
      </c>
      <c r="AF232" s="15">
        <f t="shared" si="11"/>
        <v>218</v>
      </c>
      <c r="AG232" s="15">
        <f t="shared" si="12"/>
        <v>-1</v>
      </c>
    </row>
    <row r="233" spans="31:33" x14ac:dyDescent="0.2">
      <c r="AE233" s="99">
        <f t="shared" si="13"/>
        <v>-218</v>
      </c>
      <c r="AF233" s="15">
        <f t="shared" si="11"/>
        <v>219</v>
      </c>
      <c r="AG233" s="15">
        <f t="shared" si="12"/>
        <v>-1</v>
      </c>
    </row>
    <row r="234" spans="31:33" x14ac:dyDescent="0.2">
      <c r="AE234" s="99">
        <f t="shared" si="13"/>
        <v>-219</v>
      </c>
      <c r="AF234" s="15">
        <f t="shared" si="11"/>
        <v>220</v>
      </c>
      <c r="AG234" s="15">
        <f t="shared" si="12"/>
        <v>-1</v>
      </c>
    </row>
    <row r="235" spans="31:33" x14ac:dyDescent="0.2">
      <c r="AE235" s="99">
        <f t="shared" si="13"/>
        <v>-220</v>
      </c>
      <c r="AF235" s="15">
        <f t="shared" si="11"/>
        <v>221</v>
      </c>
      <c r="AG235" s="15">
        <f t="shared" si="12"/>
        <v>-1</v>
      </c>
    </row>
    <row r="236" spans="31:33" x14ac:dyDescent="0.2">
      <c r="AE236" s="99">
        <f t="shared" si="13"/>
        <v>-221</v>
      </c>
      <c r="AF236" s="15">
        <f t="shared" si="11"/>
        <v>222</v>
      </c>
      <c r="AG236" s="15">
        <f t="shared" si="12"/>
        <v>-1</v>
      </c>
    </row>
    <row r="237" spans="31:33" x14ac:dyDescent="0.2">
      <c r="AE237" s="99">
        <f t="shared" si="13"/>
        <v>-222</v>
      </c>
      <c r="AF237" s="15">
        <f t="shared" si="11"/>
        <v>223</v>
      </c>
      <c r="AG237" s="15">
        <f t="shared" si="12"/>
        <v>-1</v>
      </c>
    </row>
    <row r="238" spans="31:33" x14ac:dyDescent="0.2">
      <c r="AE238" s="99">
        <f t="shared" si="13"/>
        <v>-223</v>
      </c>
      <c r="AF238" s="15">
        <f t="shared" si="11"/>
        <v>224</v>
      </c>
      <c r="AG238" s="15">
        <f t="shared" si="12"/>
        <v>-1</v>
      </c>
    </row>
    <row r="239" spans="31:33" x14ac:dyDescent="0.2">
      <c r="AE239" s="99">
        <f t="shared" si="13"/>
        <v>-224</v>
      </c>
      <c r="AF239" s="15">
        <f t="shared" si="11"/>
        <v>225</v>
      </c>
      <c r="AG239" s="15">
        <f t="shared" si="12"/>
        <v>-1</v>
      </c>
    </row>
    <row r="240" spans="31:33" x14ac:dyDescent="0.2">
      <c r="AE240" s="99">
        <f t="shared" si="13"/>
        <v>-225</v>
      </c>
      <c r="AF240" s="15">
        <f t="shared" si="11"/>
        <v>226</v>
      </c>
      <c r="AG240" s="15">
        <f t="shared" si="12"/>
        <v>-1</v>
      </c>
    </row>
    <row r="241" spans="31:33" x14ac:dyDescent="0.2">
      <c r="AE241" s="99">
        <f t="shared" si="13"/>
        <v>-226</v>
      </c>
      <c r="AF241" s="15">
        <f t="shared" si="11"/>
        <v>227</v>
      </c>
      <c r="AG241" s="15">
        <f t="shared" si="12"/>
        <v>-1</v>
      </c>
    </row>
    <row r="242" spans="31:33" x14ac:dyDescent="0.2">
      <c r="AE242" s="99">
        <f t="shared" si="13"/>
        <v>-227</v>
      </c>
      <c r="AF242" s="15">
        <f t="shared" si="11"/>
        <v>228</v>
      </c>
      <c r="AG242" s="15">
        <f t="shared" si="12"/>
        <v>-1</v>
      </c>
    </row>
    <row r="243" spans="31:33" x14ac:dyDescent="0.2">
      <c r="AE243" s="99">
        <f t="shared" si="13"/>
        <v>-228</v>
      </c>
      <c r="AF243" s="15">
        <f t="shared" si="11"/>
        <v>229</v>
      </c>
      <c r="AG243" s="15">
        <f t="shared" si="12"/>
        <v>-1</v>
      </c>
    </row>
    <row r="244" spans="31:33" x14ac:dyDescent="0.2">
      <c r="AE244" s="99">
        <f t="shared" si="13"/>
        <v>-229</v>
      </c>
      <c r="AF244" s="15">
        <f t="shared" si="11"/>
        <v>230</v>
      </c>
      <c r="AG244" s="15">
        <f t="shared" si="12"/>
        <v>-1</v>
      </c>
    </row>
    <row r="245" spans="31:33" x14ac:dyDescent="0.2">
      <c r="AE245" s="99">
        <f t="shared" si="13"/>
        <v>-230</v>
      </c>
      <c r="AF245" s="15">
        <f t="shared" si="11"/>
        <v>231</v>
      </c>
      <c r="AG245" s="15">
        <f t="shared" si="12"/>
        <v>-1</v>
      </c>
    </row>
    <row r="246" spans="31:33" x14ac:dyDescent="0.2">
      <c r="AE246" s="99">
        <f t="shared" si="13"/>
        <v>-231</v>
      </c>
      <c r="AF246" s="15">
        <f t="shared" si="11"/>
        <v>232</v>
      </c>
      <c r="AG246" s="15">
        <f t="shared" si="12"/>
        <v>-1</v>
      </c>
    </row>
    <row r="247" spans="31:33" x14ac:dyDescent="0.2">
      <c r="AE247" s="99">
        <f t="shared" si="13"/>
        <v>-232</v>
      </c>
      <c r="AF247" s="15">
        <f t="shared" si="11"/>
        <v>233</v>
      </c>
      <c r="AG247" s="15">
        <f t="shared" si="12"/>
        <v>-1</v>
      </c>
    </row>
    <row r="248" spans="31:33" x14ac:dyDescent="0.2">
      <c r="AE248" s="99">
        <f t="shared" si="13"/>
        <v>-233</v>
      </c>
      <c r="AF248" s="15">
        <f t="shared" si="11"/>
        <v>234</v>
      </c>
      <c r="AG248" s="15">
        <f t="shared" si="12"/>
        <v>-1</v>
      </c>
    </row>
    <row r="249" spans="31:33" x14ac:dyDescent="0.2">
      <c r="AE249" s="99">
        <f t="shared" si="13"/>
        <v>-234</v>
      </c>
      <c r="AF249" s="15">
        <f t="shared" si="11"/>
        <v>235</v>
      </c>
      <c r="AG249" s="15">
        <f t="shared" si="12"/>
        <v>-1</v>
      </c>
    </row>
    <row r="250" spans="31:33" x14ac:dyDescent="0.2">
      <c r="AE250" s="99">
        <f t="shared" si="13"/>
        <v>-235</v>
      </c>
      <c r="AF250" s="15">
        <f t="shared" si="11"/>
        <v>236</v>
      </c>
      <c r="AG250" s="15">
        <f t="shared" si="12"/>
        <v>-1</v>
      </c>
    </row>
    <row r="251" spans="31:33" x14ac:dyDescent="0.2">
      <c r="AE251" s="99">
        <f t="shared" si="13"/>
        <v>-236</v>
      </c>
      <c r="AF251" s="15">
        <f t="shared" si="11"/>
        <v>237</v>
      </c>
      <c r="AG251" s="15">
        <f t="shared" si="12"/>
        <v>-1</v>
      </c>
    </row>
    <row r="252" spans="31:33" x14ac:dyDescent="0.2">
      <c r="AE252" s="99">
        <f t="shared" si="13"/>
        <v>-237</v>
      </c>
      <c r="AF252" s="15">
        <f t="shared" si="11"/>
        <v>238</v>
      </c>
      <c r="AG252" s="15">
        <f t="shared" si="12"/>
        <v>-1</v>
      </c>
    </row>
    <row r="253" spans="31:33" x14ac:dyDescent="0.2">
      <c r="AE253" s="99">
        <f t="shared" si="13"/>
        <v>-238</v>
      </c>
      <c r="AF253" s="15">
        <f t="shared" si="11"/>
        <v>239</v>
      </c>
      <c r="AG253" s="15">
        <f t="shared" si="12"/>
        <v>-1</v>
      </c>
    </row>
    <row r="254" spans="31:33" x14ac:dyDescent="0.2">
      <c r="AE254" s="99">
        <f t="shared" si="13"/>
        <v>-239</v>
      </c>
      <c r="AF254" s="15">
        <f t="shared" si="11"/>
        <v>240</v>
      </c>
      <c r="AG254" s="15">
        <f t="shared" si="12"/>
        <v>-1</v>
      </c>
    </row>
    <row r="255" spans="31:33" x14ac:dyDescent="0.2">
      <c r="AE255" s="99">
        <f t="shared" si="13"/>
        <v>-240</v>
      </c>
      <c r="AF255" s="15">
        <f t="shared" si="11"/>
        <v>241</v>
      </c>
      <c r="AG255" s="15">
        <f t="shared" si="12"/>
        <v>-1</v>
      </c>
    </row>
    <row r="256" spans="31:33" x14ac:dyDescent="0.2">
      <c r="AE256" s="99">
        <f t="shared" si="13"/>
        <v>-241</v>
      </c>
      <c r="AF256" s="15">
        <f t="shared" si="11"/>
        <v>242</v>
      </c>
      <c r="AG256" s="15">
        <f t="shared" si="12"/>
        <v>-1</v>
      </c>
    </row>
    <row r="257" spans="31:33" x14ac:dyDescent="0.2">
      <c r="AE257" s="99">
        <f t="shared" si="13"/>
        <v>-242</v>
      </c>
      <c r="AF257" s="15">
        <f t="shared" si="11"/>
        <v>243</v>
      </c>
      <c r="AG257" s="15">
        <f t="shared" si="12"/>
        <v>-1</v>
      </c>
    </row>
    <row r="258" spans="31:33" x14ac:dyDescent="0.2">
      <c r="AE258" s="99">
        <f t="shared" si="13"/>
        <v>-243</v>
      </c>
      <c r="AF258" s="15">
        <f t="shared" si="11"/>
        <v>244</v>
      </c>
      <c r="AG258" s="15">
        <f t="shared" si="12"/>
        <v>-1</v>
      </c>
    </row>
    <row r="259" spans="31:33" x14ac:dyDescent="0.2">
      <c r="AE259" s="99">
        <f t="shared" si="13"/>
        <v>-244</v>
      </c>
      <c r="AF259" s="15">
        <f t="shared" si="11"/>
        <v>245</v>
      </c>
      <c r="AG259" s="15">
        <f t="shared" si="12"/>
        <v>-1</v>
      </c>
    </row>
    <row r="260" spans="31:33" x14ac:dyDescent="0.2">
      <c r="AE260" s="99">
        <f t="shared" si="13"/>
        <v>-245</v>
      </c>
      <c r="AF260" s="15">
        <f t="shared" ref="AF260:AF323" si="14">IF(AF259&gt;=1,AF259+1,IF(AE260=0,1,-1))</f>
        <v>246</v>
      </c>
      <c r="AG260" s="15">
        <f t="shared" ref="AG260:AG323" si="15">IF(AND(AG259&gt;=1,AG259&lt;$AB$3),AG259+1,IF(AE260=0,1,-1))</f>
        <v>-1</v>
      </c>
    </row>
    <row r="261" spans="31:33" x14ac:dyDescent="0.2">
      <c r="AE261" s="99">
        <f t="shared" ref="AE261:AE324" si="16">AE260-1</f>
        <v>-246</v>
      </c>
      <c r="AF261" s="15">
        <f t="shared" si="14"/>
        <v>247</v>
      </c>
      <c r="AG261" s="15">
        <f t="shared" si="15"/>
        <v>-1</v>
      </c>
    </row>
    <row r="262" spans="31:33" x14ac:dyDescent="0.2">
      <c r="AE262" s="99">
        <f t="shared" si="16"/>
        <v>-247</v>
      </c>
      <c r="AF262" s="15">
        <f t="shared" si="14"/>
        <v>248</v>
      </c>
      <c r="AG262" s="15">
        <f t="shared" si="15"/>
        <v>-1</v>
      </c>
    </row>
    <row r="263" spans="31:33" x14ac:dyDescent="0.2">
      <c r="AE263" s="99">
        <f t="shared" si="16"/>
        <v>-248</v>
      </c>
      <c r="AF263" s="15">
        <f t="shared" si="14"/>
        <v>249</v>
      </c>
      <c r="AG263" s="15">
        <f t="shared" si="15"/>
        <v>-1</v>
      </c>
    </row>
    <row r="264" spans="31:33" x14ac:dyDescent="0.2">
      <c r="AE264" s="99">
        <f t="shared" si="16"/>
        <v>-249</v>
      </c>
      <c r="AF264" s="15">
        <f t="shared" si="14"/>
        <v>250</v>
      </c>
      <c r="AG264" s="15">
        <f t="shared" si="15"/>
        <v>-1</v>
      </c>
    </row>
    <row r="265" spans="31:33" x14ac:dyDescent="0.2">
      <c r="AE265" s="99">
        <f t="shared" si="16"/>
        <v>-250</v>
      </c>
      <c r="AF265" s="15">
        <f t="shared" si="14"/>
        <v>251</v>
      </c>
      <c r="AG265" s="15">
        <f t="shared" si="15"/>
        <v>-1</v>
      </c>
    </row>
    <row r="266" spans="31:33" x14ac:dyDescent="0.2">
      <c r="AE266" s="99">
        <f t="shared" si="16"/>
        <v>-251</v>
      </c>
      <c r="AF266" s="15">
        <f t="shared" si="14"/>
        <v>252</v>
      </c>
      <c r="AG266" s="15">
        <f t="shared" si="15"/>
        <v>-1</v>
      </c>
    </row>
    <row r="267" spans="31:33" x14ac:dyDescent="0.2">
      <c r="AE267" s="99">
        <f t="shared" si="16"/>
        <v>-252</v>
      </c>
      <c r="AF267" s="15">
        <f t="shared" si="14"/>
        <v>253</v>
      </c>
      <c r="AG267" s="15">
        <f t="shared" si="15"/>
        <v>-1</v>
      </c>
    </row>
    <row r="268" spans="31:33" x14ac:dyDescent="0.2">
      <c r="AE268" s="99">
        <f t="shared" si="16"/>
        <v>-253</v>
      </c>
      <c r="AF268" s="15">
        <f t="shared" si="14"/>
        <v>254</v>
      </c>
      <c r="AG268" s="15">
        <f t="shared" si="15"/>
        <v>-1</v>
      </c>
    </row>
    <row r="269" spans="31:33" x14ac:dyDescent="0.2">
      <c r="AE269" s="99">
        <f t="shared" si="16"/>
        <v>-254</v>
      </c>
      <c r="AF269" s="15">
        <f t="shared" si="14"/>
        <v>255</v>
      </c>
      <c r="AG269" s="15">
        <f t="shared" si="15"/>
        <v>-1</v>
      </c>
    </row>
    <row r="270" spans="31:33" x14ac:dyDescent="0.2">
      <c r="AE270" s="99">
        <f t="shared" si="16"/>
        <v>-255</v>
      </c>
      <c r="AF270" s="15">
        <f t="shared" si="14"/>
        <v>256</v>
      </c>
      <c r="AG270" s="15">
        <f t="shared" si="15"/>
        <v>-1</v>
      </c>
    </row>
    <row r="271" spans="31:33" x14ac:dyDescent="0.2">
      <c r="AE271" s="99">
        <f t="shared" si="16"/>
        <v>-256</v>
      </c>
      <c r="AF271" s="15">
        <f t="shared" si="14"/>
        <v>257</v>
      </c>
      <c r="AG271" s="15">
        <f t="shared" si="15"/>
        <v>-1</v>
      </c>
    </row>
    <row r="272" spans="31:33" x14ac:dyDescent="0.2">
      <c r="AE272" s="99">
        <f t="shared" si="16"/>
        <v>-257</v>
      </c>
      <c r="AF272" s="15">
        <f t="shared" si="14"/>
        <v>258</v>
      </c>
      <c r="AG272" s="15">
        <f t="shared" si="15"/>
        <v>-1</v>
      </c>
    </row>
    <row r="273" spans="31:33" x14ac:dyDescent="0.2">
      <c r="AE273" s="99">
        <f t="shared" si="16"/>
        <v>-258</v>
      </c>
      <c r="AF273" s="15">
        <f t="shared" si="14"/>
        <v>259</v>
      </c>
      <c r="AG273" s="15">
        <f t="shared" si="15"/>
        <v>-1</v>
      </c>
    </row>
    <row r="274" spans="31:33" x14ac:dyDescent="0.2">
      <c r="AE274" s="99">
        <f t="shared" si="16"/>
        <v>-259</v>
      </c>
      <c r="AF274" s="15">
        <f t="shared" si="14"/>
        <v>260</v>
      </c>
      <c r="AG274" s="15">
        <f t="shared" si="15"/>
        <v>-1</v>
      </c>
    </row>
    <row r="275" spans="31:33" x14ac:dyDescent="0.2">
      <c r="AE275" s="99">
        <f t="shared" si="16"/>
        <v>-260</v>
      </c>
      <c r="AF275" s="15">
        <f t="shared" si="14"/>
        <v>261</v>
      </c>
      <c r="AG275" s="15">
        <f t="shared" si="15"/>
        <v>-1</v>
      </c>
    </row>
    <row r="276" spans="31:33" x14ac:dyDescent="0.2">
      <c r="AE276" s="99">
        <f t="shared" si="16"/>
        <v>-261</v>
      </c>
      <c r="AF276" s="15">
        <f t="shared" si="14"/>
        <v>262</v>
      </c>
      <c r="AG276" s="15">
        <f t="shared" si="15"/>
        <v>-1</v>
      </c>
    </row>
    <row r="277" spans="31:33" x14ac:dyDescent="0.2">
      <c r="AE277" s="99">
        <f t="shared" si="16"/>
        <v>-262</v>
      </c>
      <c r="AF277" s="15">
        <f t="shared" si="14"/>
        <v>263</v>
      </c>
      <c r="AG277" s="15">
        <f t="shared" si="15"/>
        <v>-1</v>
      </c>
    </row>
    <row r="278" spans="31:33" x14ac:dyDescent="0.2">
      <c r="AE278" s="99">
        <f t="shared" si="16"/>
        <v>-263</v>
      </c>
      <c r="AF278" s="15">
        <f t="shared" si="14"/>
        <v>264</v>
      </c>
      <c r="AG278" s="15">
        <f t="shared" si="15"/>
        <v>-1</v>
      </c>
    </row>
    <row r="279" spans="31:33" x14ac:dyDescent="0.2">
      <c r="AE279" s="99">
        <f t="shared" si="16"/>
        <v>-264</v>
      </c>
      <c r="AF279" s="15">
        <f t="shared" si="14"/>
        <v>265</v>
      </c>
      <c r="AG279" s="15">
        <f t="shared" si="15"/>
        <v>-1</v>
      </c>
    </row>
    <row r="280" spans="31:33" x14ac:dyDescent="0.2">
      <c r="AE280" s="99">
        <f t="shared" si="16"/>
        <v>-265</v>
      </c>
      <c r="AF280" s="15">
        <f t="shared" si="14"/>
        <v>266</v>
      </c>
      <c r="AG280" s="15">
        <f t="shared" si="15"/>
        <v>-1</v>
      </c>
    </row>
    <row r="281" spans="31:33" x14ac:dyDescent="0.2">
      <c r="AE281" s="99">
        <f t="shared" si="16"/>
        <v>-266</v>
      </c>
      <c r="AF281" s="15">
        <f t="shared" si="14"/>
        <v>267</v>
      </c>
      <c r="AG281" s="15">
        <f t="shared" si="15"/>
        <v>-1</v>
      </c>
    </row>
    <row r="282" spans="31:33" x14ac:dyDescent="0.2">
      <c r="AE282" s="99">
        <f t="shared" si="16"/>
        <v>-267</v>
      </c>
      <c r="AF282" s="15">
        <f t="shared" si="14"/>
        <v>268</v>
      </c>
      <c r="AG282" s="15">
        <f t="shared" si="15"/>
        <v>-1</v>
      </c>
    </row>
    <row r="283" spans="31:33" x14ac:dyDescent="0.2">
      <c r="AE283" s="99">
        <f t="shared" si="16"/>
        <v>-268</v>
      </c>
      <c r="AF283" s="15">
        <f t="shared" si="14"/>
        <v>269</v>
      </c>
      <c r="AG283" s="15">
        <f t="shared" si="15"/>
        <v>-1</v>
      </c>
    </row>
    <row r="284" spans="31:33" x14ac:dyDescent="0.2">
      <c r="AE284" s="99">
        <f t="shared" si="16"/>
        <v>-269</v>
      </c>
      <c r="AF284" s="15">
        <f t="shared" si="14"/>
        <v>270</v>
      </c>
      <c r="AG284" s="15">
        <f t="shared" si="15"/>
        <v>-1</v>
      </c>
    </row>
    <row r="285" spans="31:33" x14ac:dyDescent="0.2">
      <c r="AE285" s="99">
        <f t="shared" si="16"/>
        <v>-270</v>
      </c>
      <c r="AF285" s="15">
        <f t="shared" si="14"/>
        <v>271</v>
      </c>
      <c r="AG285" s="15">
        <f t="shared" si="15"/>
        <v>-1</v>
      </c>
    </row>
    <row r="286" spans="31:33" x14ac:dyDescent="0.2">
      <c r="AE286" s="99">
        <f t="shared" si="16"/>
        <v>-271</v>
      </c>
      <c r="AF286" s="15">
        <f t="shared" si="14"/>
        <v>272</v>
      </c>
      <c r="AG286" s="15">
        <f t="shared" si="15"/>
        <v>-1</v>
      </c>
    </row>
    <row r="287" spans="31:33" x14ac:dyDescent="0.2">
      <c r="AE287" s="99">
        <f t="shared" si="16"/>
        <v>-272</v>
      </c>
      <c r="AF287" s="15">
        <f t="shared" si="14"/>
        <v>273</v>
      </c>
      <c r="AG287" s="15">
        <f t="shared" si="15"/>
        <v>-1</v>
      </c>
    </row>
    <row r="288" spans="31:33" x14ac:dyDescent="0.2">
      <c r="AE288" s="99">
        <f t="shared" si="16"/>
        <v>-273</v>
      </c>
      <c r="AF288" s="15">
        <f t="shared" si="14"/>
        <v>274</v>
      </c>
      <c r="AG288" s="15">
        <f t="shared" si="15"/>
        <v>-1</v>
      </c>
    </row>
    <row r="289" spans="31:33" x14ac:dyDescent="0.2">
      <c r="AE289" s="99">
        <f t="shared" si="16"/>
        <v>-274</v>
      </c>
      <c r="AF289" s="15">
        <f t="shared" si="14"/>
        <v>275</v>
      </c>
      <c r="AG289" s="15">
        <f t="shared" si="15"/>
        <v>-1</v>
      </c>
    </row>
    <row r="290" spans="31:33" x14ac:dyDescent="0.2">
      <c r="AE290" s="99">
        <f t="shared" si="16"/>
        <v>-275</v>
      </c>
      <c r="AF290" s="15">
        <f t="shared" si="14"/>
        <v>276</v>
      </c>
      <c r="AG290" s="15">
        <f t="shared" si="15"/>
        <v>-1</v>
      </c>
    </row>
    <row r="291" spans="31:33" x14ac:dyDescent="0.2">
      <c r="AE291" s="99">
        <f t="shared" si="16"/>
        <v>-276</v>
      </c>
      <c r="AF291" s="15">
        <f t="shared" si="14"/>
        <v>277</v>
      </c>
      <c r="AG291" s="15">
        <f t="shared" si="15"/>
        <v>-1</v>
      </c>
    </row>
    <row r="292" spans="31:33" x14ac:dyDescent="0.2">
      <c r="AE292" s="99">
        <f t="shared" si="16"/>
        <v>-277</v>
      </c>
      <c r="AF292" s="15">
        <f t="shared" si="14"/>
        <v>278</v>
      </c>
      <c r="AG292" s="15">
        <f t="shared" si="15"/>
        <v>-1</v>
      </c>
    </row>
    <row r="293" spans="31:33" x14ac:dyDescent="0.2">
      <c r="AE293" s="99">
        <f t="shared" si="16"/>
        <v>-278</v>
      </c>
      <c r="AF293" s="15">
        <f t="shared" si="14"/>
        <v>279</v>
      </c>
      <c r="AG293" s="15">
        <f t="shared" si="15"/>
        <v>-1</v>
      </c>
    </row>
    <row r="294" spans="31:33" x14ac:dyDescent="0.2">
      <c r="AE294" s="99">
        <f t="shared" si="16"/>
        <v>-279</v>
      </c>
      <c r="AF294" s="15">
        <f t="shared" si="14"/>
        <v>280</v>
      </c>
      <c r="AG294" s="15">
        <f t="shared" si="15"/>
        <v>-1</v>
      </c>
    </row>
    <row r="295" spans="31:33" x14ac:dyDescent="0.2">
      <c r="AE295" s="99">
        <f t="shared" si="16"/>
        <v>-280</v>
      </c>
      <c r="AF295" s="15">
        <f t="shared" si="14"/>
        <v>281</v>
      </c>
      <c r="AG295" s="15">
        <f t="shared" si="15"/>
        <v>-1</v>
      </c>
    </row>
    <row r="296" spans="31:33" x14ac:dyDescent="0.2">
      <c r="AE296" s="99">
        <f t="shared" si="16"/>
        <v>-281</v>
      </c>
      <c r="AF296" s="15">
        <f t="shared" si="14"/>
        <v>282</v>
      </c>
      <c r="AG296" s="15">
        <f t="shared" si="15"/>
        <v>-1</v>
      </c>
    </row>
    <row r="297" spans="31:33" x14ac:dyDescent="0.2">
      <c r="AE297" s="99">
        <f t="shared" si="16"/>
        <v>-282</v>
      </c>
      <c r="AF297" s="15">
        <f t="shared" si="14"/>
        <v>283</v>
      </c>
      <c r="AG297" s="15">
        <f t="shared" si="15"/>
        <v>-1</v>
      </c>
    </row>
    <row r="298" spans="31:33" x14ac:dyDescent="0.2">
      <c r="AE298" s="99">
        <f t="shared" si="16"/>
        <v>-283</v>
      </c>
      <c r="AF298" s="15">
        <f t="shared" si="14"/>
        <v>284</v>
      </c>
      <c r="AG298" s="15">
        <f t="shared" si="15"/>
        <v>-1</v>
      </c>
    </row>
    <row r="299" spans="31:33" x14ac:dyDescent="0.2">
      <c r="AE299" s="99">
        <f t="shared" si="16"/>
        <v>-284</v>
      </c>
      <c r="AF299" s="15">
        <f t="shared" si="14"/>
        <v>285</v>
      </c>
      <c r="AG299" s="15">
        <f t="shared" si="15"/>
        <v>-1</v>
      </c>
    </row>
    <row r="300" spans="31:33" x14ac:dyDescent="0.2">
      <c r="AE300" s="99">
        <f t="shared" si="16"/>
        <v>-285</v>
      </c>
      <c r="AF300" s="15">
        <f t="shared" si="14"/>
        <v>286</v>
      </c>
      <c r="AG300" s="15">
        <f t="shared" si="15"/>
        <v>-1</v>
      </c>
    </row>
    <row r="301" spans="31:33" x14ac:dyDescent="0.2">
      <c r="AE301" s="99">
        <f t="shared" si="16"/>
        <v>-286</v>
      </c>
      <c r="AF301" s="15">
        <f t="shared" si="14"/>
        <v>287</v>
      </c>
      <c r="AG301" s="15">
        <f t="shared" si="15"/>
        <v>-1</v>
      </c>
    </row>
    <row r="302" spans="31:33" x14ac:dyDescent="0.2">
      <c r="AE302" s="99">
        <f t="shared" si="16"/>
        <v>-287</v>
      </c>
      <c r="AF302" s="15">
        <f t="shared" si="14"/>
        <v>288</v>
      </c>
      <c r="AG302" s="15">
        <f t="shared" si="15"/>
        <v>-1</v>
      </c>
    </row>
    <row r="303" spans="31:33" x14ac:dyDescent="0.2">
      <c r="AE303" s="99">
        <f t="shared" si="16"/>
        <v>-288</v>
      </c>
      <c r="AF303" s="15">
        <f t="shared" si="14"/>
        <v>289</v>
      </c>
      <c r="AG303" s="15">
        <f t="shared" si="15"/>
        <v>-1</v>
      </c>
    </row>
    <row r="304" spans="31:33" x14ac:dyDescent="0.2">
      <c r="AE304" s="99">
        <f t="shared" si="16"/>
        <v>-289</v>
      </c>
      <c r="AF304" s="15">
        <f t="shared" si="14"/>
        <v>290</v>
      </c>
      <c r="AG304" s="15">
        <f t="shared" si="15"/>
        <v>-1</v>
      </c>
    </row>
    <row r="305" spans="31:33" x14ac:dyDescent="0.2">
      <c r="AE305" s="99">
        <f t="shared" si="16"/>
        <v>-290</v>
      </c>
      <c r="AF305" s="15">
        <f t="shared" si="14"/>
        <v>291</v>
      </c>
      <c r="AG305" s="15">
        <f t="shared" si="15"/>
        <v>-1</v>
      </c>
    </row>
    <row r="306" spans="31:33" x14ac:dyDescent="0.2">
      <c r="AE306" s="99">
        <f t="shared" si="16"/>
        <v>-291</v>
      </c>
      <c r="AF306" s="15">
        <f t="shared" si="14"/>
        <v>292</v>
      </c>
      <c r="AG306" s="15">
        <f t="shared" si="15"/>
        <v>-1</v>
      </c>
    </row>
    <row r="307" spans="31:33" x14ac:dyDescent="0.2">
      <c r="AE307" s="99">
        <f t="shared" si="16"/>
        <v>-292</v>
      </c>
      <c r="AF307" s="15">
        <f t="shared" si="14"/>
        <v>293</v>
      </c>
      <c r="AG307" s="15">
        <f t="shared" si="15"/>
        <v>-1</v>
      </c>
    </row>
    <row r="308" spans="31:33" x14ac:dyDescent="0.2">
      <c r="AE308" s="99">
        <f t="shared" si="16"/>
        <v>-293</v>
      </c>
      <c r="AF308" s="15">
        <f t="shared" si="14"/>
        <v>294</v>
      </c>
      <c r="AG308" s="15">
        <f t="shared" si="15"/>
        <v>-1</v>
      </c>
    </row>
    <row r="309" spans="31:33" x14ac:dyDescent="0.2">
      <c r="AE309" s="99">
        <f t="shared" si="16"/>
        <v>-294</v>
      </c>
      <c r="AF309" s="15">
        <f t="shared" si="14"/>
        <v>295</v>
      </c>
      <c r="AG309" s="15">
        <f t="shared" si="15"/>
        <v>-1</v>
      </c>
    </row>
    <row r="310" spans="31:33" x14ac:dyDescent="0.2">
      <c r="AE310" s="99">
        <f t="shared" si="16"/>
        <v>-295</v>
      </c>
      <c r="AF310" s="15">
        <f t="shared" si="14"/>
        <v>296</v>
      </c>
      <c r="AG310" s="15">
        <f t="shared" si="15"/>
        <v>-1</v>
      </c>
    </row>
    <row r="311" spans="31:33" x14ac:dyDescent="0.2">
      <c r="AE311" s="99">
        <f t="shared" si="16"/>
        <v>-296</v>
      </c>
      <c r="AF311" s="15">
        <f t="shared" si="14"/>
        <v>297</v>
      </c>
      <c r="AG311" s="15">
        <f t="shared" si="15"/>
        <v>-1</v>
      </c>
    </row>
    <row r="312" spans="31:33" x14ac:dyDescent="0.2">
      <c r="AE312" s="99">
        <f t="shared" si="16"/>
        <v>-297</v>
      </c>
      <c r="AF312" s="15">
        <f t="shared" si="14"/>
        <v>298</v>
      </c>
      <c r="AG312" s="15">
        <f t="shared" si="15"/>
        <v>-1</v>
      </c>
    </row>
    <row r="313" spans="31:33" x14ac:dyDescent="0.2">
      <c r="AE313" s="99">
        <f t="shared" si="16"/>
        <v>-298</v>
      </c>
      <c r="AF313" s="15">
        <f t="shared" si="14"/>
        <v>299</v>
      </c>
      <c r="AG313" s="15">
        <f t="shared" si="15"/>
        <v>-1</v>
      </c>
    </row>
    <row r="314" spans="31:33" x14ac:dyDescent="0.2">
      <c r="AE314" s="99">
        <f t="shared" si="16"/>
        <v>-299</v>
      </c>
      <c r="AF314" s="15">
        <f t="shared" si="14"/>
        <v>300</v>
      </c>
      <c r="AG314" s="15">
        <f t="shared" si="15"/>
        <v>-1</v>
      </c>
    </row>
    <row r="315" spans="31:33" x14ac:dyDescent="0.2">
      <c r="AE315" s="99">
        <f t="shared" si="16"/>
        <v>-300</v>
      </c>
      <c r="AF315" s="15">
        <f t="shared" si="14"/>
        <v>301</v>
      </c>
      <c r="AG315" s="15">
        <f t="shared" si="15"/>
        <v>-1</v>
      </c>
    </row>
    <row r="316" spans="31:33" x14ac:dyDescent="0.2">
      <c r="AE316" s="99">
        <f t="shared" si="16"/>
        <v>-301</v>
      </c>
      <c r="AF316" s="15">
        <f t="shared" si="14"/>
        <v>302</v>
      </c>
      <c r="AG316" s="15">
        <f t="shared" si="15"/>
        <v>-1</v>
      </c>
    </row>
    <row r="317" spans="31:33" x14ac:dyDescent="0.2">
      <c r="AE317" s="99">
        <f t="shared" si="16"/>
        <v>-302</v>
      </c>
      <c r="AF317" s="15">
        <f t="shared" si="14"/>
        <v>303</v>
      </c>
      <c r="AG317" s="15">
        <f t="shared" si="15"/>
        <v>-1</v>
      </c>
    </row>
    <row r="318" spans="31:33" x14ac:dyDescent="0.2">
      <c r="AE318" s="99">
        <f t="shared" si="16"/>
        <v>-303</v>
      </c>
      <c r="AF318" s="15">
        <f t="shared" si="14"/>
        <v>304</v>
      </c>
      <c r="AG318" s="15">
        <f t="shared" si="15"/>
        <v>-1</v>
      </c>
    </row>
    <row r="319" spans="31:33" x14ac:dyDescent="0.2">
      <c r="AE319" s="99">
        <f t="shared" si="16"/>
        <v>-304</v>
      </c>
      <c r="AF319" s="15">
        <f t="shared" si="14"/>
        <v>305</v>
      </c>
      <c r="AG319" s="15">
        <f t="shared" si="15"/>
        <v>-1</v>
      </c>
    </row>
    <row r="320" spans="31:33" x14ac:dyDescent="0.2">
      <c r="AE320" s="99">
        <f t="shared" si="16"/>
        <v>-305</v>
      </c>
      <c r="AF320" s="15">
        <f t="shared" si="14"/>
        <v>306</v>
      </c>
      <c r="AG320" s="15">
        <f t="shared" si="15"/>
        <v>-1</v>
      </c>
    </row>
    <row r="321" spans="31:33" x14ac:dyDescent="0.2">
      <c r="AE321" s="99">
        <f t="shared" si="16"/>
        <v>-306</v>
      </c>
      <c r="AF321" s="15">
        <f t="shared" si="14"/>
        <v>307</v>
      </c>
      <c r="AG321" s="15">
        <f t="shared" si="15"/>
        <v>-1</v>
      </c>
    </row>
    <row r="322" spans="31:33" x14ac:dyDescent="0.2">
      <c r="AE322" s="99">
        <f t="shared" si="16"/>
        <v>-307</v>
      </c>
      <c r="AF322" s="15">
        <f t="shared" si="14"/>
        <v>308</v>
      </c>
      <c r="AG322" s="15">
        <f t="shared" si="15"/>
        <v>-1</v>
      </c>
    </row>
    <row r="323" spans="31:33" x14ac:dyDescent="0.2">
      <c r="AE323" s="99">
        <f t="shared" si="16"/>
        <v>-308</v>
      </c>
      <c r="AF323" s="15">
        <f t="shared" si="14"/>
        <v>309</v>
      </c>
      <c r="AG323" s="15">
        <f t="shared" si="15"/>
        <v>-1</v>
      </c>
    </row>
    <row r="324" spans="31:33" x14ac:dyDescent="0.2">
      <c r="AE324" s="99">
        <f t="shared" si="16"/>
        <v>-309</v>
      </c>
      <c r="AF324" s="15">
        <f t="shared" ref="AF324:AF387" si="17">IF(AF323&gt;=1,AF323+1,IF(AE324=0,1,-1))</f>
        <v>310</v>
      </c>
      <c r="AG324" s="15">
        <f t="shared" ref="AG324:AG387" si="18">IF(AND(AG323&gt;=1,AG323&lt;$AB$3),AG323+1,IF(AE324=0,1,-1))</f>
        <v>-1</v>
      </c>
    </row>
    <row r="325" spans="31:33" x14ac:dyDescent="0.2">
      <c r="AE325" s="99">
        <f t="shared" ref="AE325:AE388" si="19">AE324-1</f>
        <v>-310</v>
      </c>
      <c r="AF325" s="15">
        <f t="shared" si="17"/>
        <v>311</v>
      </c>
      <c r="AG325" s="15">
        <f t="shared" si="18"/>
        <v>-1</v>
      </c>
    </row>
    <row r="326" spans="31:33" x14ac:dyDescent="0.2">
      <c r="AE326" s="99">
        <f t="shared" si="19"/>
        <v>-311</v>
      </c>
      <c r="AF326" s="15">
        <f t="shared" si="17"/>
        <v>312</v>
      </c>
      <c r="AG326" s="15">
        <f t="shared" si="18"/>
        <v>-1</v>
      </c>
    </row>
    <row r="327" spans="31:33" x14ac:dyDescent="0.2">
      <c r="AE327" s="99">
        <f t="shared" si="19"/>
        <v>-312</v>
      </c>
      <c r="AF327" s="15">
        <f t="shared" si="17"/>
        <v>313</v>
      </c>
      <c r="AG327" s="15">
        <f t="shared" si="18"/>
        <v>-1</v>
      </c>
    </row>
    <row r="328" spans="31:33" x14ac:dyDescent="0.2">
      <c r="AE328" s="99">
        <f t="shared" si="19"/>
        <v>-313</v>
      </c>
      <c r="AF328" s="15">
        <f t="shared" si="17"/>
        <v>314</v>
      </c>
      <c r="AG328" s="15">
        <f t="shared" si="18"/>
        <v>-1</v>
      </c>
    </row>
    <row r="329" spans="31:33" x14ac:dyDescent="0.2">
      <c r="AE329" s="99">
        <f t="shared" si="19"/>
        <v>-314</v>
      </c>
      <c r="AF329" s="15">
        <f t="shared" si="17"/>
        <v>315</v>
      </c>
      <c r="AG329" s="15">
        <f t="shared" si="18"/>
        <v>-1</v>
      </c>
    </row>
    <row r="330" spans="31:33" x14ac:dyDescent="0.2">
      <c r="AE330" s="99">
        <f t="shared" si="19"/>
        <v>-315</v>
      </c>
      <c r="AF330" s="15">
        <f t="shared" si="17"/>
        <v>316</v>
      </c>
      <c r="AG330" s="15">
        <f t="shared" si="18"/>
        <v>-1</v>
      </c>
    </row>
    <row r="331" spans="31:33" x14ac:dyDescent="0.2">
      <c r="AE331" s="99">
        <f t="shared" si="19"/>
        <v>-316</v>
      </c>
      <c r="AF331" s="15">
        <f t="shared" si="17"/>
        <v>317</v>
      </c>
      <c r="AG331" s="15">
        <f t="shared" si="18"/>
        <v>-1</v>
      </c>
    </row>
    <row r="332" spans="31:33" x14ac:dyDescent="0.2">
      <c r="AE332" s="99">
        <f t="shared" si="19"/>
        <v>-317</v>
      </c>
      <c r="AF332" s="15">
        <f t="shared" si="17"/>
        <v>318</v>
      </c>
      <c r="AG332" s="15">
        <f t="shared" si="18"/>
        <v>-1</v>
      </c>
    </row>
    <row r="333" spans="31:33" x14ac:dyDescent="0.2">
      <c r="AE333" s="99">
        <f t="shared" si="19"/>
        <v>-318</v>
      </c>
      <c r="AF333" s="15">
        <f t="shared" si="17"/>
        <v>319</v>
      </c>
      <c r="AG333" s="15">
        <f t="shared" si="18"/>
        <v>-1</v>
      </c>
    </row>
    <row r="334" spans="31:33" x14ac:dyDescent="0.2">
      <c r="AE334" s="99">
        <f t="shared" si="19"/>
        <v>-319</v>
      </c>
      <c r="AF334" s="15">
        <f t="shared" si="17"/>
        <v>320</v>
      </c>
      <c r="AG334" s="15">
        <f t="shared" si="18"/>
        <v>-1</v>
      </c>
    </row>
    <row r="335" spans="31:33" x14ac:dyDescent="0.2">
      <c r="AE335" s="99">
        <f t="shared" si="19"/>
        <v>-320</v>
      </c>
      <c r="AF335" s="15">
        <f t="shared" si="17"/>
        <v>321</v>
      </c>
      <c r="AG335" s="15">
        <f t="shared" si="18"/>
        <v>-1</v>
      </c>
    </row>
    <row r="336" spans="31:33" x14ac:dyDescent="0.2">
      <c r="AE336" s="99">
        <f t="shared" si="19"/>
        <v>-321</v>
      </c>
      <c r="AF336" s="15">
        <f t="shared" si="17"/>
        <v>322</v>
      </c>
      <c r="AG336" s="15">
        <f t="shared" si="18"/>
        <v>-1</v>
      </c>
    </row>
    <row r="337" spans="31:33" x14ac:dyDescent="0.2">
      <c r="AE337" s="99">
        <f t="shared" si="19"/>
        <v>-322</v>
      </c>
      <c r="AF337" s="15">
        <f t="shared" si="17"/>
        <v>323</v>
      </c>
      <c r="AG337" s="15">
        <f t="shared" si="18"/>
        <v>-1</v>
      </c>
    </row>
    <row r="338" spans="31:33" x14ac:dyDescent="0.2">
      <c r="AE338" s="99">
        <f t="shared" si="19"/>
        <v>-323</v>
      </c>
      <c r="AF338" s="15">
        <f t="shared" si="17"/>
        <v>324</v>
      </c>
      <c r="AG338" s="15">
        <f t="shared" si="18"/>
        <v>-1</v>
      </c>
    </row>
    <row r="339" spans="31:33" x14ac:dyDescent="0.2">
      <c r="AE339" s="99">
        <f t="shared" si="19"/>
        <v>-324</v>
      </c>
      <c r="AF339" s="15">
        <f t="shared" si="17"/>
        <v>325</v>
      </c>
      <c r="AG339" s="15">
        <f t="shared" si="18"/>
        <v>-1</v>
      </c>
    </row>
    <row r="340" spans="31:33" x14ac:dyDescent="0.2">
      <c r="AE340" s="99">
        <f t="shared" si="19"/>
        <v>-325</v>
      </c>
      <c r="AF340" s="15">
        <f t="shared" si="17"/>
        <v>326</v>
      </c>
      <c r="AG340" s="15">
        <f t="shared" si="18"/>
        <v>-1</v>
      </c>
    </row>
    <row r="341" spans="31:33" x14ac:dyDescent="0.2">
      <c r="AE341" s="99">
        <f t="shared" si="19"/>
        <v>-326</v>
      </c>
      <c r="AF341" s="15">
        <f t="shared" si="17"/>
        <v>327</v>
      </c>
      <c r="AG341" s="15">
        <f t="shared" si="18"/>
        <v>-1</v>
      </c>
    </row>
    <row r="342" spans="31:33" x14ac:dyDescent="0.2">
      <c r="AE342" s="99">
        <f t="shared" si="19"/>
        <v>-327</v>
      </c>
      <c r="AF342" s="15">
        <f t="shared" si="17"/>
        <v>328</v>
      </c>
      <c r="AG342" s="15">
        <f t="shared" si="18"/>
        <v>-1</v>
      </c>
    </row>
    <row r="343" spans="31:33" x14ac:dyDescent="0.2">
      <c r="AE343" s="99">
        <f t="shared" si="19"/>
        <v>-328</v>
      </c>
      <c r="AF343" s="15">
        <f t="shared" si="17"/>
        <v>329</v>
      </c>
      <c r="AG343" s="15">
        <f t="shared" si="18"/>
        <v>-1</v>
      </c>
    </row>
    <row r="344" spans="31:33" x14ac:dyDescent="0.2">
      <c r="AE344" s="99">
        <f t="shared" si="19"/>
        <v>-329</v>
      </c>
      <c r="AF344" s="15">
        <f t="shared" si="17"/>
        <v>330</v>
      </c>
      <c r="AG344" s="15">
        <f t="shared" si="18"/>
        <v>-1</v>
      </c>
    </row>
    <row r="345" spans="31:33" x14ac:dyDescent="0.2">
      <c r="AE345" s="99">
        <f t="shared" si="19"/>
        <v>-330</v>
      </c>
      <c r="AF345" s="15">
        <f t="shared" si="17"/>
        <v>331</v>
      </c>
      <c r="AG345" s="15">
        <f t="shared" si="18"/>
        <v>-1</v>
      </c>
    </row>
    <row r="346" spans="31:33" x14ac:dyDescent="0.2">
      <c r="AE346" s="99">
        <f t="shared" si="19"/>
        <v>-331</v>
      </c>
      <c r="AF346" s="15">
        <f t="shared" si="17"/>
        <v>332</v>
      </c>
      <c r="AG346" s="15">
        <f t="shared" si="18"/>
        <v>-1</v>
      </c>
    </row>
    <row r="347" spans="31:33" x14ac:dyDescent="0.2">
      <c r="AE347" s="99">
        <f t="shared" si="19"/>
        <v>-332</v>
      </c>
      <c r="AF347" s="15">
        <f t="shared" si="17"/>
        <v>333</v>
      </c>
      <c r="AG347" s="15">
        <f t="shared" si="18"/>
        <v>-1</v>
      </c>
    </row>
    <row r="348" spans="31:33" x14ac:dyDescent="0.2">
      <c r="AE348" s="99">
        <f t="shared" si="19"/>
        <v>-333</v>
      </c>
      <c r="AF348" s="15">
        <f t="shared" si="17"/>
        <v>334</v>
      </c>
      <c r="AG348" s="15">
        <f t="shared" si="18"/>
        <v>-1</v>
      </c>
    </row>
    <row r="349" spans="31:33" x14ac:dyDescent="0.2">
      <c r="AE349" s="99">
        <f t="shared" si="19"/>
        <v>-334</v>
      </c>
      <c r="AF349" s="15">
        <f t="shared" si="17"/>
        <v>335</v>
      </c>
      <c r="AG349" s="15">
        <f t="shared" si="18"/>
        <v>-1</v>
      </c>
    </row>
    <row r="350" spans="31:33" x14ac:dyDescent="0.2">
      <c r="AE350" s="99">
        <f t="shared" si="19"/>
        <v>-335</v>
      </c>
      <c r="AF350" s="15">
        <f t="shared" si="17"/>
        <v>336</v>
      </c>
      <c r="AG350" s="15">
        <f t="shared" si="18"/>
        <v>-1</v>
      </c>
    </row>
    <row r="351" spans="31:33" x14ac:dyDescent="0.2">
      <c r="AE351" s="99">
        <f t="shared" si="19"/>
        <v>-336</v>
      </c>
      <c r="AF351" s="15">
        <f t="shared" si="17"/>
        <v>337</v>
      </c>
      <c r="AG351" s="15">
        <f t="shared" si="18"/>
        <v>-1</v>
      </c>
    </row>
    <row r="352" spans="31:33" x14ac:dyDescent="0.2">
      <c r="AE352" s="99">
        <f t="shared" si="19"/>
        <v>-337</v>
      </c>
      <c r="AF352" s="15">
        <f t="shared" si="17"/>
        <v>338</v>
      </c>
      <c r="AG352" s="15">
        <f t="shared" si="18"/>
        <v>-1</v>
      </c>
    </row>
    <row r="353" spans="31:33" x14ac:dyDescent="0.2">
      <c r="AE353" s="99">
        <f t="shared" si="19"/>
        <v>-338</v>
      </c>
      <c r="AF353" s="15">
        <f t="shared" si="17"/>
        <v>339</v>
      </c>
      <c r="AG353" s="15">
        <f t="shared" si="18"/>
        <v>-1</v>
      </c>
    </row>
    <row r="354" spans="31:33" x14ac:dyDescent="0.2">
      <c r="AE354" s="99">
        <f t="shared" si="19"/>
        <v>-339</v>
      </c>
      <c r="AF354" s="15">
        <f t="shared" si="17"/>
        <v>340</v>
      </c>
      <c r="AG354" s="15">
        <f t="shared" si="18"/>
        <v>-1</v>
      </c>
    </row>
    <row r="355" spans="31:33" x14ac:dyDescent="0.2">
      <c r="AE355" s="99">
        <f t="shared" si="19"/>
        <v>-340</v>
      </c>
      <c r="AF355" s="15">
        <f t="shared" si="17"/>
        <v>341</v>
      </c>
      <c r="AG355" s="15">
        <f t="shared" si="18"/>
        <v>-1</v>
      </c>
    </row>
    <row r="356" spans="31:33" x14ac:dyDescent="0.2">
      <c r="AE356" s="99">
        <f t="shared" si="19"/>
        <v>-341</v>
      </c>
      <c r="AF356" s="15">
        <f t="shared" si="17"/>
        <v>342</v>
      </c>
      <c r="AG356" s="15">
        <f t="shared" si="18"/>
        <v>-1</v>
      </c>
    </row>
    <row r="357" spans="31:33" x14ac:dyDescent="0.2">
      <c r="AE357" s="99">
        <f t="shared" si="19"/>
        <v>-342</v>
      </c>
      <c r="AF357" s="15">
        <f t="shared" si="17"/>
        <v>343</v>
      </c>
      <c r="AG357" s="15">
        <f t="shared" si="18"/>
        <v>-1</v>
      </c>
    </row>
    <row r="358" spans="31:33" x14ac:dyDescent="0.2">
      <c r="AE358" s="99">
        <f t="shared" si="19"/>
        <v>-343</v>
      </c>
      <c r="AF358" s="15">
        <f t="shared" si="17"/>
        <v>344</v>
      </c>
      <c r="AG358" s="15">
        <f t="shared" si="18"/>
        <v>-1</v>
      </c>
    </row>
    <row r="359" spans="31:33" x14ac:dyDescent="0.2">
      <c r="AE359" s="99">
        <f t="shared" si="19"/>
        <v>-344</v>
      </c>
      <c r="AF359" s="15">
        <f t="shared" si="17"/>
        <v>345</v>
      </c>
      <c r="AG359" s="15">
        <f t="shared" si="18"/>
        <v>-1</v>
      </c>
    </row>
    <row r="360" spans="31:33" x14ac:dyDescent="0.2">
      <c r="AE360" s="99">
        <f t="shared" si="19"/>
        <v>-345</v>
      </c>
      <c r="AF360" s="15">
        <f t="shared" si="17"/>
        <v>346</v>
      </c>
      <c r="AG360" s="15">
        <f t="shared" si="18"/>
        <v>-1</v>
      </c>
    </row>
    <row r="361" spans="31:33" x14ac:dyDescent="0.2">
      <c r="AE361" s="99">
        <f t="shared" si="19"/>
        <v>-346</v>
      </c>
      <c r="AF361" s="15">
        <f t="shared" si="17"/>
        <v>347</v>
      </c>
      <c r="AG361" s="15">
        <f t="shared" si="18"/>
        <v>-1</v>
      </c>
    </row>
    <row r="362" spans="31:33" x14ac:dyDescent="0.2">
      <c r="AE362" s="99">
        <f t="shared" si="19"/>
        <v>-347</v>
      </c>
      <c r="AF362" s="15">
        <f t="shared" si="17"/>
        <v>348</v>
      </c>
      <c r="AG362" s="15">
        <f t="shared" si="18"/>
        <v>-1</v>
      </c>
    </row>
    <row r="363" spans="31:33" x14ac:dyDescent="0.2">
      <c r="AE363" s="99">
        <f t="shared" si="19"/>
        <v>-348</v>
      </c>
      <c r="AF363" s="15">
        <f t="shared" si="17"/>
        <v>349</v>
      </c>
      <c r="AG363" s="15">
        <f t="shared" si="18"/>
        <v>-1</v>
      </c>
    </row>
    <row r="364" spans="31:33" x14ac:dyDescent="0.2">
      <c r="AE364" s="99">
        <f t="shared" si="19"/>
        <v>-349</v>
      </c>
      <c r="AF364" s="15">
        <f t="shared" si="17"/>
        <v>350</v>
      </c>
      <c r="AG364" s="15">
        <f t="shared" si="18"/>
        <v>-1</v>
      </c>
    </row>
    <row r="365" spans="31:33" x14ac:dyDescent="0.2">
      <c r="AE365" s="99">
        <f t="shared" si="19"/>
        <v>-350</v>
      </c>
      <c r="AF365" s="15">
        <f t="shared" si="17"/>
        <v>351</v>
      </c>
      <c r="AG365" s="15">
        <f t="shared" si="18"/>
        <v>-1</v>
      </c>
    </row>
    <row r="366" spans="31:33" x14ac:dyDescent="0.2">
      <c r="AE366" s="99">
        <f t="shared" si="19"/>
        <v>-351</v>
      </c>
      <c r="AF366" s="15">
        <f t="shared" si="17"/>
        <v>352</v>
      </c>
      <c r="AG366" s="15">
        <f t="shared" si="18"/>
        <v>-1</v>
      </c>
    </row>
    <row r="367" spans="31:33" x14ac:dyDescent="0.2">
      <c r="AE367" s="99">
        <f t="shared" si="19"/>
        <v>-352</v>
      </c>
      <c r="AF367" s="15">
        <f t="shared" si="17"/>
        <v>353</v>
      </c>
      <c r="AG367" s="15">
        <f t="shared" si="18"/>
        <v>-1</v>
      </c>
    </row>
    <row r="368" spans="31:33" x14ac:dyDescent="0.2">
      <c r="AE368" s="99">
        <f t="shared" si="19"/>
        <v>-353</v>
      </c>
      <c r="AF368" s="15">
        <f t="shared" si="17"/>
        <v>354</v>
      </c>
      <c r="AG368" s="15">
        <f t="shared" si="18"/>
        <v>-1</v>
      </c>
    </row>
    <row r="369" spans="31:33" x14ac:dyDescent="0.2">
      <c r="AE369" s="99">
        <f t="shared" si="19"/>
        <v>-354</v>
      </c>
      <c r="AF369" s="15">
        <f t="shared" si="17"/>
        <v>355</v>
      </c>
      <c r="AG369" s="15">
        <f t="shared" si="18"/>
        <v>-1</v>
      </c>
    </row>
    <row r="370" spans="31:33" x14ac:dyDescent="0.2">
      <c r="AE370" s="99">
        <f t="shared" si="19"/>
        <v>-355</v>
      </c>
      <c r="AF370" s="15">
        <f t="shared" si="17"/>
        <v>356</v>
      </c>
      <c r="AG370" s="15">
        <f t="shared" si="18"/>
        <v>-1</v>
      </c>
    </row>
    <row r="371" spans="31:33" x14ac:dyDescent="0.2">
      <c r="AE371" s="99">
        <f t="shared" si="19"/>
        <v>-356</v>
      </c>
      <c r="AF371" s="15">
        <f t="shared" si="17"/>
        <v>357</v>
      </c>
      <c r="AG371" s="15">
        <f t="shared" si="18"/>
        <v>-1</v>
      </c>
    </row>
    <row r="372" spans="31:33" x14ac:dyDescent="0.2">
      <c r="AE372" s="99">
        <f t="shared" si="19"/>
        <v>-357</v>
      </c>
      <c r="AF372" s="15">
        <f t="shared" si="17"/>
        <v>358</v>
      </c>
      <c r="AG372" s="15">
        <f t="shared" si="18"/>
        <v>-1</v>
      </c>
    </row>
    <row r="373" spans="31:33" x14ac:dyDescent="0.2">
      <c r="AE373" s="99">
        <f t="shared" si="19"/>
        <v>-358</v>
      </c>
      <c r="AF373" s="15">
        <f t="shared" si="17"/>
        <v>359</v>
      </c>
      <c r="AG373" s="15">
        <f t="shared" si="18"/>
        <v>-1</v>
      </c>
    </row>
    <row r="374" spans="31:33" x14ac:dyDescent="0.2">
      <c r="AE374" s="99">
        <f t="shared" si="19"/>
        <v>-359</v>
      </c>
      <c r="AF374" s="15">
        <f t="shared" si="17"/>
        <v>360</v>
      </c>
      <c r="AG374" s="15">
        <f t="shared" si="18"/>
        <v>-1</v>
      </c>
    </row>
    <row r="375" spans="31:33" x14ac:dyDescent="0.2">
      <c r="AE375" s="99">
        <f t="shared" si="19"/>
        <v>-360</v>
      </c>
      <c r="AF375" s="15">
        <f t="shared" si="17"/>
        <v>361</v>
      </c>
      <c r="AG375" s="15">
        <f t="shared" si="18"/>
        <v>-1</v>
      </c>
    </row>
    <row r="376" spans="31:33" x14ac:dyDescent="0.2">
      <c r="AE376" s="99">
        <f t="shared" si="19"/>
        <v>-361</v>
      </c>
      <c r="AF376" s="15">
        <f t="shared" si="17"/>
        <v>362</v>
      </c>
      <c r="AG376" s="15">
        <f t="shared" si="18"/>
        <v>-1</v>
      </c>
    </row>
    <row r="377" spans="31:33" x14ac:dyDescent="0.2">
      <c r="AE377" s="99">
        <f t="shared" si="19"/>
        <v>-362</v>
      </c>
      <c r="AF377" s="15">
        <f t="shared" si="17"/>
        <v>363</v>
      </c>
      <c r="AG377" s="15">
        <f t="shared" si="18"/>
        <v>-1</v>
      </c>
    </row>
    <row r="378" spans="31:33" x14ac:dyDescent="0.2">
      <c r="AE378" s="99">
        <f t="shared" si="19"/>
        <v>-363</v>
      </c>
      <c r="AF378" s="15">
        <f t="shared" si="17"/>
        <v>364</v>
      </c>
      <c r="AG378" s="15">
        <f t="shared" si="18"/>
        <v>-1</v>
      </c>
    </row>
    <row r="379" spans="31:33" x14ac:dyDescent="0.2">
      <c r="AE379" s="99">
        <f t="shared" si="19"/>
        <v>-364</v>
      </c>
      <c r="AF379" s="15">
        <f t="shared" si="17"/>
        <v>365</v>
      </c>
      <c r="AG379" s="15">
        <f t="shared" si="18"/>
        <v>-1</v>
      </c>
    </row>
    <row r="380" spans="31:33" x14ac:dyDescent="0.2">
      <c r="AE380" s="99">
        <f t="shared" si="19"/>
        <v>-365</v>
      </c>
      <c r="AF380" s="15">
        <f t="shared" si="17"/>
        <v>366</v>
      </c>
      <c r="AG380" s="15">
        <f t="shared" si="18"/>
        <v>-1</v>
      </c>
    </row>
    <row r="381" spans="31:33" x14ac:dyDescent="0.2">
      <c r="AE381" s="99">
        <f t="shared" si="19"/>
        <v>-366</v>
      </c>
      <c r="AF381" s="15">
        <f t="shared" si="17"/>
        <v>367</v>
      </c>
      <c r="AG381" s="15">
        <f t="shared" si="18"/>
        <v>-1</v>
      </c>
    </row>
    <row r="382" spans="31:33" x14ac:dyDescent="0.2">
      <c r="AE382" s="99">
        <f t="shared" si="19"/>
        <v>-367</v>
      </c>
      <c r="AF382" s="15">
        <f t="shared" si="17"/>
        <v>368</v>
      </c>
      <c r="AG382" s="15">
        <f t="shared" si="18"/>
        <v>-1</v>
      </c>
    </row>
    <row r="383" spans="31:33" x14ac:dyDescent="0.2">
      <c r="AE383" s="99">
        <f t="shared" si="19"/>
        <v>-368</v>
      </c>
      <c r="AF383" s="15">
        <f t="shared" si="17"/>
        <v>369</v>
      </c>
      <c r="AG383" s="15">
        <f t="shared" si="18"/>
        <v>-1</v>
      </c>
    </row>
    <row r="384" spans="31:33" x14ac:dyDescent="0.2">
      <c r="AE384" s="99">
        <f t="shared" si="19"/>
        <v>-369</v>
      </c>
      <c r="AF384" s="15">
        <f t="shared" si="17"/>
        <v>370</v>
      </c>
      <c r="AG384" s="15">
        <f t="shared" si="18"/>
        <v>-1</v>
      </c>
    </row>
    <row r="385" spans="31:33" x14ac:dyDescent="0.2">
      <c r="AE385" s="99">
        <f t="shared" si="19"/>
        <v>-370</v>
      </c>
      <c r="AF385" s="15">
        <f t="shared" si="17"/>
        <v>371</v>
      </c>
      <c r="AG385" s="15">
        <f t="shared" si="18"/>
        <v>-1</v>
      </c>
    </row>
    <row r="386" spans="31:33" x14ac:dyDescent="0.2">
      <c r="AE386" s="99">
        <f t="shared" si="19"/>
        <v>-371</v>
      </c>
      <c r="AF386" s="15">
        <f t="shared" si="17"/>
        <v>372</v>
      </c>
      <c r="AG386" s="15">
        <f t="shared" si="18"/>
        <v>-1</v>
      </c>
    </row>
    <row r="387" spans="31:33" x14ac:dyDescent="0.2">
      <c r="AE387" s="99">
        <f t="shared" si="19"/>
        <v>-372</v>
      </c>
      <c r="AF387" s="15">
        <f t="shared" si="17"/>
        <v>373</v>
      </c>
      <c r="AG387" s="15">
        <f t="shared" si="18"/>
        <v>-1</v>
      </c>
    </row>
    <row r="388" spans="31:33" x14ac:dyDescent="0.2">
      <c r="AE388" s="99">
        <f t="shared" si="19"/>
        <v>-373</v>
      </c>
      <c r="AF388" s="15">
        <f t="shared" ref="AF388:AF451" si="20">IF(AF387&gt;=1,AF387+1,IF(AE388=0,1,-1))</f>
        <v>374</v>
      </c>
      <c r="AG388" s="15">
        <f t="shared" ref="AG388:AG451" si="21">IF(AND(AG387&gt;=1,AG387&lt;$AB$3),AG387+1,IF(AE388=0,1,-1))</f>
        <v>-1</v>
      </c>
    </row>
    <row r="389" spans="31:33" x14ac:dyDescent="0.2">
      <c r="AE389" s="99">
        <f t="shared" ref="AE389:AE452" si="22">AE388-1</f>
        <v>-374</v>
      </c>
      <c r="AF389" s="15">
        <f t="shared" si="20"/>
        <v>375</v>
      </c>
      <c r="AG389" s="15">
        <f t="shared" si="21"/>
        <v>-1</v>
      </c>
    </row>
    <row r="390" spans="31:33" x14ac:dyDescent="0.2">
      <c r="AE390" s="99">
        <f t="shared" si="22"/>
        <v>-375</v>
      </c>
      <c r="AF390" s="15">
        <f t="shared" si="20"/>
        <v>376</v>
      </c>
      <c r="AG390" s="15">
        <f t="shared" si="21"/>
        <v>-1</v>
      </c>
    </row>
    <row r="391" spans="31:33" x14ac:dyDescent="0.2">
      <c r="AE391" s="99">
        <f t="shared" si="22"/>
        <v>-376</v>
      </c>
      <c r="AF391" s="15">
        <f t="shared" si="20"/>
        <v>377</v>
      </c>
      <c r="AG391" s="15">
        <f t="shared" si="21"/>
        <v>-1</v>
      </c>
    </row>
    <row r="392" spans="31:33" x14ac:dyDescent="0.2">
      <c r="AE392" s="99">
        <f t="shared" si="22"/>
        <v>-377</v>
      </c>
      <c r="AF392" s="15">
        <f t="shared" si="20"/>
        <v>378</v>
      </c>
      <c r="AG392" s="15">
        <f t="shared" si="21"/>
        <v>-1</v>
      </c>
    </row>
    <row r="393" spans="31:33" x14ac:dyDescent="0.2">
      <c r="AE393" s="99">
        <f t="shared" si="22"/>
        <v>-378</v>
      </c>
      <c r="AF393" s="15">
        <f t="shared" si="20"/>
        <v>379</v>
      </c>
      <c r="AG393" s="15">
        <f t="shared" si="21"/>
        <v>-1</v>
      </c>
    </row>
    <row r="394" spans="31:33" x14ac:dyDescent="0.2">
      <c r="AE394" s="99">
        <f t="shared" si="22"/>
        <v>-379</v>
      </c>
      <c r="AF394" s="15">
        <f t="shared" si="20"/>
        <v>380</v>
      </c>
      <c r="AG394" s="15">
        <f t="shared" si="21"/>
        <v>-1</v>
      </c>
    </row>
    <row r="395" spans="31:33" x14ac:dyDescent="0.2">
      <c r="AE395" s="99">
        <f t="shared" si="22"/>
        <v>-380</v>
      </c>
      <c r="AF395" s="15">
        <f t="shared" si="20"/>
        <v>381</v>
      </c>
      <c r="AG395" s="15">
        <f t="shared" si="21"/>
        <v>-1</v>
      </c>
    </row>
    <row r="396" spans="31:33" x14ac:dyDescent="0.2">
      <c r="AE396" s="99">
        <f t="shared" si="22"/>
        <v>-381</v>
      </c>
      <c r="AF396" s="15">
        <f t="shared" si="20"/>
        <v>382</v>
      </c>
      <c r="AG396" s="15">
        <f t="shared" si="21"/>
        <v>-1</v>
      </c>
    </row>
    <row r="397" spans="31:33" x14ac:dyDescent="0.2">
      <c r="AE397" s="99">
        <f t="shared" si="22"/>
        <v>-382</v>
      </c>
      <c r="AF397" s="15">
        <f t="shared" si="20"/>
        <v>383</v>
      </c>
      <c r="AG397" s="15">
        <f t="shared" si="21"/>
        <v>-1</v>
      </c>
    </row>
    <row r="398" spans="31:33" x14ac:dyDescent="0.2">
      <c r="AE398" s="99">
        <f t="shared" si="22"/>
        <v>-383</v>
      </c>
      <c r="AF398" s="15">
        <f t="shared" si="20"/>
        <v>384</v>
      </c>
      <c r="AG398" s="15">
        <f t="shared" si="21"/>
        <v>-1</v>
      </c>
    </row>
    <row r="399" spans="31:33" x14ac:dyDescent="0.2">
      <c r="AE399" s="99">
        <f t="shared" si="22"/>
        <v>-384</v>
      </c>
      <c r="AF399" s="15">
        <f t="shared" si="20"/>
        <v>385</v>
      </c>
      <c r="AG399" s="15">
        <f t="shared" si="21"/>
        <v>-1</v>
      </c>
    </row>
    <row r="400" spans="31:33" x14ac:dyDescent="0.2">
      <c r="AE400" s="99">
        <f t="shared" si="22"/>
        <v>-385</v>
      </c>
      <c r="AF400" s="15">
        <f t="shared" si="20"/>
        <v>386</v>
      </c>
      <c r="AG400" s="15">
        <f t="shared" si="21"/>
        <v>-1</v>
      </c>
    </row>
    <row r="401" spans="31:33" x14ac:dyDescent="0.2">
      <c r="AE401" s="99">
        <f t="shared" si="22"/>
        <v>-386</v>
      </c>
      <c r="AF401" s="15">
        <f t="shared" si="20"/>
        <v>387</v>
      </c>
      <c r="AG401" s="15">
        <f t="shared" si="21"/>
        <v>-1</v>
      </c>
    </row>
    <row r="402" spans="31:33" x14ac:dyDescent="0.2">
      <c r="AE402" s="99">
        <f t="shared" si="22"/>
        <v>-387</v>
      </c>
      <c r="AF402" s="15">
        <f t="shared" si="20"/>
        <v>388</v>
      </c>
      <c r="AG402" s="15">
        <f t="shared" si="21"/>
        <v>-1</v>
      </c>
    </row>
    <row r="403" spans="31:33" x14ac:dyDescent="0.2">
      <c r="AE403" s="99">
        <f t="shared" si="22"/>
        <v>-388</v>
      </c>
      <c r="AF403" s="15">
        <f t="shared" si="20"/>
        <v>389</v>
      </c>
      <c r="AG403" s="15">
        <f t="shared" si="21"/>
        <v>-1</v>
      </c>
    </row>
    <row r="404" spans="31:33" x14ac:dyDescent="0.2">
      <c r="AE404" s="99">
        <f t="shared" si="22"/>
        <v>-389</v>
      </c>
      <c r="AF404" s="15">
        <f t="shared" si="20"/>
        <v>390</v>
      </c>
      <c r="AG404" s="15">
        <f t="shared" si="21"/>
        <v>-1</v>
      </c>
    </row>
    <row r="405" spans="31:33" x14ac:dyDescent="0.2">
      <c r="AE405" s="99">
        <f t="shared" si="22"/>
        <v>-390</v>
      </c>
      <c r="AF405" s="15">
        <f t="shared" si="20"/>
        <v>391</v>
      </c>
      <c r="AG405" s="15">
        <f t="shared" si="21"/>
        <v>-1</v>
      </c>
    </row>
    <row r="406" spans="31:33" x14ac:dyDescent="0.2">
      <c r="AE406" s="99">
        <f t="shared" si="22"/>
        <v>-391</v>
      </c>
      <c r="AF406" s="15">
        <f t="shared" si="20"/>
        <v>392</v>
      </c>
      <c r="AG406" s="15">
        <f t="shared" si="21"/>
        <v>-1</v>
      </c>
    </row>
    <row r="407" spans="31:33" x14ac:dyDescent="0.2">
      <c r="AE407" s="99">
        <f t="shared" si="22"/>
        <v>-392</v>
      </c>
      <c r="AF407" s="15">
        <f t="shared" si="20"/>
        <v>393</v>
      </c>
      <c r="AG407" s="15">
        <f t="shared" si="21"/>
        <v>-1</v>
      </c>
    </row>
    <row r="408" spans="31:33" x14ac:dyDescent="0.2">
      <c r="AE408" s="99">
        <f t="shared" si="22"/>
        <v>-393</v>
      </c>
      <c r="AF408" s="15">
        <f t="shared" si="20"/>
        <v>394</v>
      </c>
      <c r="AG408" s="15">
        <f t="shared" si="21"/>
        <v>-1</v>
      </c>
    </row>
    <row r="409" spans="31:33" x14ac:dyDescent="0.2">
      <c r="AE409" s="99">
        <f t="shared" si="22"/>
        <v>-394</v>
      </c>
      <c r="AF409" s="15">
        <f t="shared" si="20"/>
        <v>395</v>
      </c>
      <c r="AG409" s="15">
        <f t="shared" si="21"/>
        <v>-1</v>
      </c>
    </row>
    <row r="410" spans="31:33" x14ac:dyDescent="0.2">
      <c r="AE410" s="99">
        <f t="shared" si="22"/>
        <v>-395</v>
      </c>
      <c r="AF410" s="15">
        <f t="shared" si="20"/>
        <v>396</v>
      </c>
      <c r="AG410" s="15">
        <f t="shared" si="21"/>
        <v>-1</v>
      </c>
    </row>
    <row r="411" spans="31:33" x14ac:dyDescent="0.2">
      <c r="AE411" s="99">
        <f t="shared" si="22"/>
        <v>-396</v>
      </c>
      <c r="AF411" s="15">
        <f t="shared" si="20"/>
        <v>397</v>
      </c>
      <c r="AG411" s="15">
        <f t="shared" si="21"/>
        <v>-1</v>
      </c>
    </row>
    <row r="412" spans="31:33" x14ac:dyDescent="0.2">
      <c r="AE412" s="99">
        <f t="shared" si="22"/>
        <v>-397</v>
      </c>
      <c r="AF412" s="15">
        <f t="shared" si="20"/>
        <v>398</v>
      </c>
      <c r="AG412" s="15">
        <f t="shared" si="21"/>
        <v>-1</v>
      </c>
    </row>
    <row r="413" spans="31:33" x14ac:dyDescent="0.2">
      <c r="AE413" s="99">
        <f t="shared" si="22"/>
        <v>-398</v>
      </c>
      <c r="AF413" s="15">
        <f t="shared" si="20"/>
        <v>399</v>
      </c>
      <c r="AG413" s="15">
        <f t="shared" si="21"/>
        <v>-1</v>
      </c>
    </row>
    <row r="414" spans="31:33" x14ac:dyDescent="0.2">
      <c r="AE414" s="99">
        <f t="shared" si="22"/>
        <v>-399</v>
      </c>
      <c r="AF414" s="15">
        <f t="shared" si="20"/>
        <v>400</v>
      </c>
      <c r="AG414" s="15">
        <f t="shared" si="21"/>
        <v>-1</v>
      </c>
    </row>
    <row r="415" spans="31:33" x14ac:dyDescent="0.2">
      <c r="AE415" s="99">
        <f t="shared" si="22"/>
        <v>-400</v>
      </c>
      <c r="AF415" s="15">
        <f t="shared" si="20"/>
        <v>401</v>
      </c>
      <c r="AG415" s="15">
        <f t="shared" si="21"/>
        <v>-1</v>
      </c>
    </row>
    <row r="416" spans="31:33" x14ac:dyDescent="0.2">
      <c r="AE416" s="99">
        <f t="shared" si="22"/>
        <v>-401</v>
      </c>
      <c r="AF416" s="15">
        <f t="shared" si="20"/>
        <v>402</v>
      </c>
      <c r="AG416" s="15">
        <f t="shared" si="21"/>
        <v>-1</v>
      </c>
    </row>
    <row r="417" spans="31:33" x14ac:dyDescent="0.2">
      <c r="AE417" s="99">
        <f t="shared" si="22"/>
        <v>-402</v>
      </c>
      <c r="AF417" s="15">
        <f t="shared" si="20"/>
        <v>403</v>
      </c>
      <c r="AG417" s="15">
        <f t="shared" si="21"/>
        <v>-1</v>
      </c>
    </row>
    <row r="418" spans="31:33" x14ac:dyDescent="0.2">
      <c r="AE418" s="99">
        <f t="shared" si="22"/>
        <v>-403</v>
      </c>
      <c r="AF418" s="15">
        <f t="shared" si="20"/>
        <v>404</v>
      </c>
      <c r="AG418" s="15">
        <f t="shared" si="21"/>
        <v>-1</v>
      </c>
    </row>
    <row r="419" spans="31:33" x14ac:dyDescent="0.2">
      <c r="AE419" s="99">
        <f t="shared" si="22"/>
        <v>-404</v>
      </c>
      <c r="AF419" s="15">
        <f t="shared" si="20"/>
        <v>405</v>
      </c>
      <c r="AG419" s="15">
        <f t="shared" si="21"/>
        <v>-1</v>
      </c>
    </row>
    <row r="420" spans="31:33" x14ac:dyDescent="0.2">
      <c r="AE420" s="99">
        <f t="shared" si="22"/>
        <v>-405</v>
      </c>
      <c r="AF420" s="15">
        <f t="shared" si="20"/>
        <v>406</v>
      </c>
      <c r="AG420" s="15">
        <f t="shared" si="21"/>
        <v>-1</v>
      </c>
    </row>
    <row r="421" spans="31:33" x14ac:dyDescent="0.2">
      <c r="AE421" s="99">
        <f t="shared" si="22"/>
        <v>-406</v>
      </c>
      <c r="AF421" s="15">
        <f t="shared" si="20"/>
        <v>407</v>
      </c>
      <c r="AG421" s="15">
        <f t="shared" si="21"/>
        <v>-1</v>
      </c>
    </row>
    <row r="422" spans="31:33" x14ac:dyDescent="0.2">
      <c r="AE422" s="99">
        <f t="shared" si="22"/>
        <v>-407</v>
      </c>
      <c r="AF422" s="15">
        <f t="shared" si="20"/>
        <v>408</v>
      </c>
      <c r="AG422" s="15">
        <f t="shared" si="21"/>
        <v>-1</v>
      </c>
    </row>
    <row r="423" spans="31:33" x14ac:dyDescent="0.2">
      <c r="AE423" s="99">
        <f t="shared" si="22"/>
        <v>-408</v>
      </c>
      <c r="AF423" s="15">
        <f t="shared" si="20"/>
        <v>409</v>
      </c>
      <c r="AG423" s="15">
        <f t="shared" si="21"/>
        <v>-1</v>
      </c>
    </row>
    <row r="424" spans="31:33" x14ac:dyDescent="0.2">
      <c r="AE424" s="99">
        <f t="shared" si="22"/>
        <v>-409</v>
      </c>
      <c r="AF424" s="15">
        <f t="shared" si="20"/>
        <v>410</v>
      </c>
      <c r="AG424" s="15">
        <f t="shared" si="21"/>
        <v>-1</v>
      </c>
    </row>
    <row r="425" spans="31:33" x14ac:dyDescent="0.2">
      <c r="AE425" s="99">
        <f t="shared" si="22"/>
        <v>-410</v>
      </c>
      <c r="AF425" s="15">
        <f t="shared" si="20"/>
        <v>411</v>
      </c>
      <c r="AG425" s="15">
        <f t="shared" si="21"/>
        <v>-1</v>
      </c>
    </row>
    <row r="426" spans="31:33" x14ac:dyDescent="0.2">
      <c r="AE426" s="99">
        <f t="shared" si="22"/>
        <v>-411</v>
      </c>
      <c r="AF426" s="15">
        <f t="shared" si="20"/>
        <v>412</v>
      </c>
      <c r="AG426" s="15">
        <f t="shared" si="21"/>
        <v>-1</v>
      </c>
    </row>
    <row r="427" spans="31:33" x14ac:dyDescent="0.2">
      <c r="AE427" s="99">
        <f t="shared" si="22"/>
        <v>-412</v>
      </c>
      <c r="AF427" s="15">
        <f t="shared" si="20"/>
        <v>413</v>
      </c>
      <c r="AG427" s="15">
        <f t="shared" si="21"/>
        <v>-1</v>
      </c>
    </row>
    <row r="428" spans="31:33" x14ac:dyDescent="0.2">
      <c r="AE428" s="99">
        <f t="shared" si="22"/>
        <v>-413</v>
      </c>
      <c r="AF428" s="15">
        <f t="shared" si="20"/>
        <v>414</v>
      </c>
      <c r="AG428" s="15">
        <f t="shared" si="21"/>
        <v>-1</v>
      </c>
    </row>
    <row r="429" spans="31:33" x14ac:dyDescent="0.2">
      <c r="AE429" s="99">
        <f t="shared" si="22"/>
        <v>-414</v>
      </c>
      <c r="AF429" s="15">
        <f t="shared" si="20"/>
        <v>415</v>
      </c>
      <c r="AG429" s="15">
        <f t="shared" si="21"/>
        <v>-1</v>
      </c>
    </row>
    <row r="430" spans="31:33" x14ac:dyDescent="0.2">
      <c r="AE430" s="99">
        <f t="shared" si="22"/>
        <v>-415</v>
      </c>
      <c r="AF430" s="15">
        <f t="shared" si="20"/>
        <v>416</v>
      </c>
      <c r="AG430" s="15">
        <f t="shared" si="21"/>
        <v>-1</v>
      </c>
    </row>
    <row r="431" spans="31:33" x14ac:dyDescent="0.2">
      <c r="AE431" s="99">
        <f t="shared" si="22"/>
        <v>-416</v>
      </c>
      <c r="AF431" s="15">
        <f t="shared" si="20"/>
        <v>417</v>
      </c>
      <c r="AG431" s="15">
        <f t="shared" si="21"/>
        <v>-1</v>
      </c>
    </row>
    <row r="432" spans="31:33" x14ac:dyDescent="0.2">
      <c r="AE432" s="99">
        <f t="shared" si="22"/>
        <v>-417</v>
      </c>
      <c r="AF432" s="15">
        <f t="shared" si="20"/>
        <v>418</v>
      </c>
      <c r="AG432" s="15">
        <f t="shared" si="21"/>
        <v>-1</v>
      </c>
    </row>
    <row r="433" spans="31:33" x14ac:dyDescent="0.2">
      <c r="AE433" s="99">
        <f t="shared" si="22"/>
        <v>-418</v>
      </c>
      <c r="AF433" s="15">
        <f t="shared" si="20"/>
        <v>419</v>
      </c>
      <c r="AG433" s="15">
        <f t="shared" si="21"/>
        <v>-1</v>
      </c>
    </row>
    <row r="434" spans="31:33" x14ac:dyDescent="0.2">
      <c r="AE434" s="99">
        <f t="shared" si="22"/>
        <v>-419</v>
      </c>
      <c r="AF434" s="15">
        <f t="shared" si="20"/>
        <v>420</v>
      </c>
      <c r="AG434" s="15">
        <f t="shared" si="21"/>
        <v>-1</v>
      </c>
    </row>
    <row r="435" spans="31:33" x14ac:dyDescent="0.2">
      <c r="AE435" s="99">
        <f t="shared" si="22"/>
        <v>-420</v>
      </c>
      <c r="AF435" s="15">
        <f t="shared" si="20"/>
        <v>421</v>
      </c>
      <c r="AG435" s="15">
        <f t="shared" si="21"/>
        <v>-1</v>
      </c>
    </row>
    <row r="436" spans="31:33" x14ac:dyDescent="0.2">
      <c r="AE436" s="99">
        <f t="shared" si="22"/>
        <v>-421</v>
      </c>
      <c r="AF436" s="15">
        <f t="shared" si="20"/>
        <v>422</v>
      </c>
      <c r="AG436" s="15">
        <f t="shared" si="21"/>
        <v>-1</v>
      </c>
    </row>
    <row r="437" spans="31:33" x14ac:dyDescent="0.2">
      <c r="AE437" s="99">
        <f t="shared" si="22"/>
        <v>-422</v>
      </c>
      <c r="AF437" s="15">
        <f t="shared" si="20"/>
        <v>423</v>
      </c>
      <c r="AG437" s="15">
        <f t="shared" si="21"/>
        <v>-1</v>
      </c>
    </row>
    <row r="438" spans="31:33" x14ac:dyDescent="0.2">
      <c r="AE438" s="99">
        <f t="shared" si="22"/>
        <v>-423</v>
      </c>
      <c r="AF438" s="15">
        <f t="shared" si="20"/>
        <v>424</v>
      </c>
      <c r="AG438" s="15">
        <f t="shared" si="21"/>
        <v>-1</v>
      </c>
    </row>
    <row r="439" spans="31:33" x14ac:dyDescent="0.2">
      <c r="AE439" s="99">
        <f t="shared" si="22"/>
        <v>-424</v>
      </c>
      <c r="AF439" s="15">
        <f t="shared" si="20"/>
        <v>425</v>
      </c>
      <c r="AG439" s="15">
        <f t="shared" si="21"/>
        <v>-1</v>
      </c>
    </row>
    <row r="440" spans="31:33" x14ac:dyDescent="0.2">
      <c r="AE440" s="99">
        <f t="shared" si="22"/>
        <v>-425</v>
      </c>
      <c r="AF440" s="15">
        <f t="shared" si="20"/>
        <v>426</v>
      </c>
      <c r="AG440" s="15">
        <f t="shared" si="21"/>
        <v>-1</v>
      </c>
    </row>
    <row r="441" spans="31:33" x14ac:dyDescent="0.2">
      <c r="AE441" s="99">
        <f t="shared" si="22"/>
        <v>-426</v>
      </c>
      <c r="AF441" s="15">
        <f t="shared" si="20"/>
        <v>427</v>
      </c>
      <c r="AG441" s="15">
        <f t="shared" si="21"/>
        <v>-1</v>
      </c>
    </row>
    <row r="442" spans="31:33" x14ac:dyDescent="0.2">
      <c r="AE442" s="99">
        <f t="shared" si="22"/>
        <v>-427</v>
      </c>
      <c r="AF442" s="15">
        <f t="shared" si="20"/>
        <v>428</v>
      </c>
      <c r="AG442" s="15">
        <f t="shared" si="21"/>
        <v>-1</v>
      </c>
    </row>
    <row r="443" spans="31:33" x14ac:dyDescent="0.2">
      <c r="AE443" s="99">
        <f t="shared" si="22"/>
        <v>-428</v>
      </c>
      <c r="AF443" s="15">
        <f t="shared" si="20"/>
        <v>429</v>
      </c>
      <c r="AG443" s="15">
        <f t="shared" si="21"/>
        <v>-1</v>
      </c>
    </row>
    <row r="444" spans="31:33" x14ac:dyDescent="0.2">
      <c r="AE444" s="99">
        <f t="shared" si="22"/>
        <v>-429</v>
      </c>
      <c r="AF444" s="15">
        <f t="shared" si="20"/>
        <v>430</v>
      </c>
      <c r="AG444" s="15">
        <f t="shared" si="21"/>
        <v>-1</v>
      </c>
    </row>
    <row r="445" spans="31:33" x14ac:dyDescent="0.2">
      <c r="AE445" s="99">
        <f t="shared" si="22"/>
        <v>-430</v>
      </c>
      <c r="AF445" s="15">
        <f t="shared" si="20"/>
        <v>431</v>
      </c>
      <c r="AG445" s="15">
        <f t="shared" si="21"/>
        <v>-1</v>
      </c>
    </row>
    <row r="446" spans="31:33" x14ac:dyDescent="0.2">
      <c r="AE446" s="99">
        <f t="shared" si="22"/>
        <v>-431</v>
      </c>
      <c r="AF446" s="15">
        <f t="shared" si="20"/>
        <v>432</v>
      </c>
      <c r="AG446" s="15">
        <f t="shared" si="21"/>
        <v>-1</v>
      </c>
    </row>
    <row r="447" spans="31:33" x14ac:dyDescent="0.2">
      <c r="AE447" s="99">
        <f t="shared" si="22"/>
        <v>-432</v>
      </c>
      <c r="AF447" s="15">
        <f t="shared" si="20"/>
        <v>433</v>
      </c>
      <c r="AG447" s="15">
        <f t="shared" si="21"/>
        <v>-1</v>
      </c>
    </row>
    <row r="448" spans="31:33" x14ac:dyDescent="0.2">
      <c r="AE448" s="99">
        <f t="shared" si="22"/>
        <v>-433</v>
      </c>
      <c r="AF448" s="15">
        <f t="shared" si="20"/>
        <v>434</v>
      </c>
      <c r="AG448" s="15">
        <f t="shared" si="21"/>
        <v>-1</v>
      </c>
    </row>
    <row r="449" spans="31:33" x14ac:dyDescent="0.2">
      <c r="AE449" s="99">
        <f t="shared" si="22"/>
        <v>-434</v>
      </c>
      <c r="AF449" s="15">
        <f t="shared" si="20"/>
        <v>435</v>
      </c>
      <c r="AG449" s="15">
        <f t="shared" si="21"/>
        <v>-1</v>
      </c>
    </row>
    <row r="450" spans="31:33" x14ac:dyDescent="0.2">
      <c r="AE450" s="99">
        <f t="shared" si="22"/>
        <v>-435</v>
      </c>
      <c r="AF450" s="15">
        <f t="shared" si="20"/>
        <v>436</v>
      </c>
      <c r="AG450" s="15">
        <f t="shared" si="21"/>
        <v>-1</v>
      </c>
    </row>
    <row r="451" spans="31:33" x14ac:dyDescent="0.2">
      <c r="AE451" s="99">
        <f t="shared" si="22"/>
        <v>-436</v>
      </c>
      <c r="AF451" s="15">
        <f t="shared" si="20"/>
        <v>437</v>
      </c>
      <c r="AG451" s="15">
        <f t="shared" si="21"/>
        <v>-1</v>
      </c>
    </row>
    <row r="452" spans="31:33" x14ac:dyDescent="0.2">
      <c r="AE452" s="99">
        <f t="shared" si="22"/>
        <v>-437</v>
      </c>
      <c r="AF452" s="15">
        <f t="shared" ref="AF452:AF515" si="23">IF(AF451&gt;=1,AF451+1,IF(AE452=0,1,-1))</f>
        <v>438</v>
      </c>
      <c r="AG452" s="15">
        <f t="shared" ref="AG452:AG515" si="24">IF(AND(AG451&gt;=1,AG451&lt;$AB$3),AG451+1,IF(AE452=0,1,-1))</f>
        <v>-1</v>
      </c>
    </row>
    <row r="453" spans="31:33" x14ac:dyDescent="0.2">
      <c r="AE453" s="99">
        <f t="shared" ref="AE453:AE516" si="25">AE452-1</f>
        <v>-438</v>
      </c>
      <c r="AF453" s="15">
        <f t="shared" si="23"/>
        <v>439</v>
      </c>
      <c r="AG453" s="15">
        <f t="shared" si="24"/>
        <v>-1</v>
      </c>
    </row>
    <row r="454" spans="31:33" x14ac:dyDescent="0.2">
      <c r="AE454" s="99">
        <f t="shared" si="25"/>
        <v>-439</v>
      </c>
      <c r="AF454" s="15">
        <f t="shared" si="23"/>
        <v>440</v>
      </c>
      <c r="AG454" s="15">
        <f t="shared" si="24"/>
        <v>-1</v>
      </c>
    </row>
    <row r="455" spans="31:33" x14ac:dyDescent="0.2">
      <c r="AE455" s="99">
        <f t="shared" si="25"/>
        <v>-440</v>
      </c>
      <c r="AF455" s="15">
        <f t="shared" si="23"/>
        <v>441</v>
      </c>
      <c r="AG455" s="15">
        <f t="shared" si="24"/>
        <v>-1</v>
      </c>
    </row>
    <row r="456" spans="31:33" x14ac:dyDescent="0.2">
      <c r="AE456" s="99">
        <f t="shared" si="25"/>
        <v>-441</v>
      </c>
      <c r="AF456" s="15">
        <f t="shared" si="23"/>
        <v>442</v>
      </c>
      <c r="AG456" s="15">
        <f t="shared" si="24"/>
        <v>-1</v>
      </c>
    </row>
    <row r="457" spans="31:33" x14ac:dyDescent="0.2">
      <c r="AE457" s="99">
        <f t="shared" si="25"/>
        <v>-442</v>
      </c>
      <c r="AF457" s="15">
        <f t="shared" si="23"/>
        <v>443</v>
      </c>
      <c r="AG457" s="15">
        <f t="shared" si="24"/>
        <v>-1</v>
      </c>
    </row>
    <row r="458" spans="31:33" x14ac:dyDescent="0.2">
      <c r="AE458" s="99">
        <f t="shared" si="25"/>
        <v>-443</v>
      </c>
      <c r="AF458" s="15">
        <f t="shared" si="23"/>
        <v>444</v>
      </c>
      <c r="AG458" s="15">
        <f t="shared" si="24"/>
        <v>-1</v>
      </c>
    </row>
    <row r="459" spans="31:33" x14ac:dyDescent="0.2">
      <c r="AE459" s="99">
        <f t="shared" si="25"/>
        <v>-444</v>
      </c>
      <c r="AF459" s="15">
        <f t="shared" si="23"/>
        <v>445</v>
      </c>
      <c r="AG459" s="15">
        <f t="shared" si="24"/>
        <v>-1</v>
      </c>
    </row>
    <row r="460" spans="31:33" x14ac:dyDescent="0.2">
      <c r="AE460" s="99">
        <f t="shared" si="25"/>
        <v>-445</v>
      </c>
      <c r="AF460" s="15">
        <f t="shared" si="23"/>
        <v>446</v>
      </c>
      <c r="AG460" s="15">
        <f t="shared" si="24"/>
        <v>-1</v>
      </c>
    </row>
    <row r="461" spans="31:33" x14ac:dyDescent="0.2">
      <c r="AE461" s="99">
        <f t="shared" si="25"/>
        <v>-446</v>
      </c>
      <c r="AF461" s="15">
        <f t="shared" si="23"/>
        <v>447</v>
      </c>
      <c r="AG461" s="15">
        <f t="shared" si="24"/>
        <v>-1</v>
      </c>
    </row>
    <row r="462" spans="31:33" x14ac:dyDescent="0.2">
      <c r="AE462" s="99">
        <f t="shared" si="25"/>
        <v>-447</v>
      </c>
      <c r="AF462" s="15">
        <f t="shared" si="23"/>
        <v>448</v>
      </c>
      <c r="AG462" s="15">
        <f t="shared" si="24"/>
        <v>-1</v>
      </c>
    </row>
    <row r="463" spans="31:33" x14ac:dyDescent="0.2">
      <c r="AE463" s="99">
        <f t="shared" si="25"/>
        <v>-448</v>
      </c>
      <c r="AF463" s="15">
        <f t="shared" si="23"/>
        <v>449</v>
      </c>
      <c r="AG463" s="15">
        <f t="shared" si="24"/>
        <v>-1</v>
      </c>
    </row>
    <row r="464" spans="31:33" x14ac:dyDescent="0.2">
      <c r="AE464" s="99">
        <f t="shared" si="25"/>
        <v>-449</v>
      </c>
      <c r="AF464" s="15">
        <f t="shared" si="23"/>
        <v>450</v>
      </c>
      <c r="AG464" s="15">
        <f t="shared" si="24"/>
        <v>-1</v>
      </c>
    </row>
    <row r="465" spans="31:33" x14ac:dyDescent="0.2">
      <c r="AE465" s="99">
        <f t="shared" si="25"/>
        <v>-450</v>
      </c>
      <c r="AF465" s="15">
        <f t="shared" si="23"/>
        <v>451</v>
      </c>
      <c r="AG465" s="15">
        <f t="shared" si="24"/>
        <v>-1</v>
      </c>
    </row>
    <row r="466" spans="31:33" x14ac:dyDescent="0.2">
      <c r="AE466" s="99">
        <f t="shared" si="25"/>
        <v>-451</v>
      </c>
      <c r="AF466" s="15">
        <f t="shared" si="23"/>
        <v>452</v>
      </c>
      <c r="AG466" s="15">
        <f t="shared" si="24"/>
        <v>-1</v>
      </c>
    </row>
    <row r="467" spans="31:33" x14ac:dyDescent="0.2">
      <c r="AE467" s="99">
        <f t="shared" si="25"/>
        <v>-452</v>
      </c>
      <c r="AF467" s="15">
        <f t="shared" si="23"/>
        <v>453</v>
      </c>
      <c r="AG467" s="15">
        <f t="shared" si="24"/>
        <v>-1</v>
      </c>
    </row>
    <row r="468" spans="31:33" x14ac:dyDescent="0.2">
      <c r="AE468" s="99">
        <f t="shared" si="25"/>
        <v>-453</v>
      </c>
      <c r="AF468" s="15">
        <f t="shared" si="23"/>
        <v>454</v>
      </c>
      <c r="AG468" s="15">
        <f t="shared" si="24"/>
        <v>-1</v>
      </c>
    </row>
    <row r="469" spans="31:33" x14ac:dyDescent="0.2">
      <c r="AE469" s="99">
        <f t="shared" si="25"/>
        <v>-454</v>
      </c>
      <c r="AF469" s="15">
        <f t="shared" si="23"/>
        <v>455</v>
      </c>
      <c r="AG469" s="15">
        <f t="shared" si="24"/>
        <v>-1</v>
      </c>
    </row>
    <row r="470" spans="31:33" x14ac:dyDescent="0.2">
      <c r="AE470" s="99">
        <f t="shared" si="25"/>
        <v>-455</v>
      </c>
      <c r="AF470" s="15">
        <f t="shared" si="23"/>
        <v>456</v>
      </c>
      <c r="AG470" s="15">
        <f t="shared" si="24"/>
        <v>-1</v>
      </c>
    </row>
    <row r="471" spans="31:33" x14ac:dyDescent="0.2">
      <c r="AE471" s="99">
        <f t="shared" si="25"/>
        <v>-456</v>
      </c>
      <c r="AF471" s="15">
        <f t="shared" si="23"/>
        <v>457</v>
      </c>
      <c r="AG471" s="15">
        <f t="shared" si="24"/>
        <v>-1</v>
      </c>
    </row>
    <row r="472" spans="31:33" x14ac:dyDescent="0.2">
      <c r="AE472" s="99">
        <f t="shared" si="25"/>
        <v>-457</v>
      </c>
      <c r="AF472" s="15">
        <f t="shared" si="23"/>
        <v>458</v>
      </c>
      <c r="AG472" s="15">
        <f t="shared" si="24"/>
        <v>-1</v>
      </c>
    </row>
    <row r="473" spans="31:33" x14ac:dyDescent="0.2">
      <c r="AE473" s="99">
        <f t="shared" si="25"/>
        <v>-458</v>
      </c>
      <c r="AF473" s="15">
        <f t="shared" si="23"/>
        <v>459</v>
      </c>
      <c r="AG473" s="15">
        <f t="shared" si="24"/>
        <v>-1</v>
      </c>
    </row>
    <row r="474" spans="31:33" x14ac:dyDescent="0.2">
      <c r="AE474" s="99">
        <f t="shared" si="25"/>
        <v>-459</v>
      </c>
      <c r="AF474" s="15">
        <f t="shared" si="23"/>
        <v>460</v>
      </c>
      <c r="AG474" s="15">
        <f t="shared" si="24"/>
        <v>-1</v>
      </c>
    </row>
    <row r="475" spans="31:33" x14ac:dyDescent="0.2">
      <c r="AE475" s="99">
        <f t="shared" si="25"/>
        <v>-460</v>
      </c>
      <c r="AF475" s="15">
        <f t="shared" si="23"/>
        <v>461</v>
      </c>
      <c r="AG475" s="15">
        <f t="shared" si="24"/>
        <v>-1</v>
      </c>
    </row>
    <row r="476" spans="31:33" x14ac:dyDescent="0.2">
      <c r="AE476" s="99">
        <f t="shared" si="25"/>
        <v>-461</v>
      </c>
      <c r="AF476" s="15">
        <f t="shared" si="23"/>
        <v>462</v>
      </c>
      <c r="AG476" s="15">
        <f t="shared" si="24"/>
        <v>-1</v>
      </c>
    </row>
    <row r="477" spans="31:33" x14ac:dyDescent="0.2">
      <c r="AE477" s="99">
        <f t="shared" si="25"/>
        <v>-462</v>
      </c>
      <c r="AF477" s="15">
        <f t="shared" si="23"/>
        <v>463</v>
      </c>
      <c r="AG477" s="15">
        <f t="shared" si="24"/>
        <v>-1</v>
      </c>
    </row>
    <row r="478" spans="31:33" x14ac:dyDescent="0.2">
      <c r="AE478" s="99">
        <f t="shared" si="25"/>
        <v>-463</v>
      </c>
      <c r="AF478" s="15">
        <f t="shared" si="23"/>
        <v>464</v>
      </c>
      <c r="AG478" s="15">
        <f t="shared" si="24"/>
        <v>-1</v>
      </c>
    </row>
    <row r="479" spans="31:33" x14ac:dyDescent="0.2">
      <c r="AE479" s="99">
        <f t="shared" si="25"/>
        <v>-464</v>
      </c>
      <c r="AF479" s="15">
        <f t="shared" si="23"/>
        <v>465</v>
      </c>
      <c r="AG479" s="15">
        <f t="shared" si="24"/>
        <v>-1</v>
      </c>
    </row>
    <row r="480" spans="31:33" x14ac:dyDescent="0.2">
      <c r="AE480" s="99">
        <f t="shared" si="25"/>
        <v>-465</v>
      </c>
      <c r="AF480" s="15">
        <f t="shared" si="23"/>
        <v>466</v>
      </c>
      <c r="AG480" s="15">
        <f t="shared" si="24"/>
        <v>-1</v>
      </c>
    </row>
    <row r="481" spans="31:33" x14ac:dyDescent="0.2">
      <c r="AE481" s="99">
        <f t="shared" si="25"/>
        <v>-466</v>
      </c>
      <c r="AF481" s="15">
        <f t="shared" si="23"/>
        <v>467</v>
      </c>
      <c r="AG481" s="15">
        <f t="shared" si="24"/>
        <v>-1</v>
      </c>
    </row>
    <row r="482" spans="31:33" x14ac:dyDescent="0.2">
      <c r="AE482" s="99">
        <f t="shared" si="25"/>
        <v>-467</v>
      </c>
      <c r="AF482" s="15">
        <f t="shared" si="23"/>
        <v>468</v>
      </c>
      <c r="AG482" s="15">
        <f t="shared" si="24"/>
        <v>-1</v>
      </c>
    </row>
    <row r="483" spans="31:33" x14ac:dyDescent="0.2">
      <c r="AE483" s="99">
        <f t="shared" si="25"/>
        <v>-468</v>
      </c>
      <c r="AF483" s="15">
        <f t="shared" si="23"/>
        <v>469</v>
      </c>
      <c r="AG483" s="15">
        <f t="shared" si="24"/>
        <v>-1</v>
      </c>
    </row>
    <row r="484" spans="31:33" x14ac:dyDescent="0.2">
      <c r="AE484" s="99">
        <f t="shared" si="25"/>
        <v>-469</v>
      </c>
      <c r="AF484" s="15">
        <f t="shared" si="23"/>
        <v>470</v>
      </c>
      <c r="AG484" s="15">
        <f t="shared" si="24"/>
        <v>-1</v>
      </c>
    </row>
    <row r="485" spans="31:33" x14ac:dyDescent="0.2">
      <c r="AE485" s="99">
        <f t="shared" si="25"/>
        <v>-470</v>
      </c>
      <c r="AF485" s="15">
        <f t="shared" si="23"/>
        <v>471</v>
      </c>
      <c r="AG485" s="15">
        <f t="shared" si="24"/>
        <v>-1</v>
      </c>
    </row>
    <row r="486" spans="31:33" x14ac:dyDescent="0.2">
      <c r="AE486" s="99">
        <f t="shared" si="25"/>
        <v>-471</v>
      </c>
      <c r="AF486" s="15">
        <f t="shared" si="23"/>
        <v>472</v>
      </c>
      <c r="AG486" s="15">
        <f t="shared" si="24"/>
        <v>-1</v>
      </c>
    </row>
    <row r="487" spans="31:33" x14ac:dyDescent="0.2">
      <c r="AE487" s="99">
        <f t="shared" si="25"/>
        <v>-472</v>
      </c>
      <c r="AF487" s="15">
        <f t="shared" si="23"/>
        <v>473</v>
      </c>
      <c r="AG487" s="15">
        <f t="shared" si="24"/>
        <v>-1</v>
      </c>
    </row>
    <row r="488" spans="31:33" x14ac:dyDescent="0.2">
      <c r="AE488" s="99">
        <f t="shared" si="25"/>
        <v>-473</v>
      </c>
      <c r="AF488" s="15">
        <f t="shared" si="23"/>
        <v>474</v>
      </c>
      <c r="AG488" s="15">
        <f t="shared" si="24"/>
        <v>-1</v>
      </c>
    </row>
    <row r="489" spans="31:33" x14ac:dyDescent="0.2">
      <c r="AE489" s="99">
        <f t="shared" si="25"/>
        <v>-474</v>
      </c>
      <c r="AF489" s="15">
        <f t="shared" si="23"/>
        <v>475</v>
      </c>
      <c r="AG489" s="15">
        <f t="shared" si="24"/>
        <v>-1</v>
      </c>
    </row>
    <row r="490" spans="31:33" x14ac:dyDescent="0.2">
      <c r="AE490" s="99">
        <f t="shared" si="25"/>
        <v>-475</v>
      </c>
      <c r="AF490" s="15">
        <f t="shared" si="23"/>
        <v>476</v>
      </c>
      <c r="AG490" s="15">
        <f t="shared" si="24"/>
        <v>-1</v>
      </c>
    </row>
    <row r="491" spans="31:33" x14ac:dyDescent="0.2">
      <c r="AE491" s="99">
        <f t="shared" si="25"/>
        <v>-476</v>
      </c>
      <c r="AF491" s="15">
        <f t="shared" si="23"/>
        <v>477</v>
      </c>
      <c r="AG491" s="15">
        <f t="shared" si="24"/>
        <v>-1</v>
      </c>
    </row>
    <row r="492" spans="31:33" x14ac:dyDescent="0.2">
      <c r="AE492" s="99">
        <f t="shared" si="25"/>
        <v>-477</v>
      </c>
      <c r="AF492" s="15">
        <f t="shared" si="23"/>
        <v>478</v>
      </c>
      <c r="AG492" s="15">
        <f t="shared" si="24"/>
        <v>-1</v>
      </c>
    </row>
    <row r="493" spans="31:33" x14ac:dyDescent="0.2">
      <c r="AE493" s="99">
        <f t="shared" si="25"/>
        <v>-478</v>
      </c>
      <c r="AF493" s="15">
        <f t="shared" si="23"/>
        <v>479</v>
      </c>
      <c r="AG493" s="15">
        <f t="shared" si="24"/>
        <v>-1</v>
      </c>
    </row>
    <row r="494" spans="31:33" x14ac:dyDescent="0.2">
      <c r="AE494" s="99">
        <f t="shared" si="25"/>
        <v>-479</v>
      </c>
      <c r="AF494" s="15">
        <f t="shared" si="23"/>
        <v>480</v>
      </c>
      <c r="AG494" s="15">
        <f t="shared" si="24"/>
        <v>-1</v>
      </c>
    </row>
    <row r="495" spans="31:33" x14ac:dyDescent="0.2">
      <c r="AE495" s="99">
        <f t="shared" si="25"/>
        <v>-480</v>
      </c>
      <c r="AF495" s="15">
        <f t="shared" si="23"/>
        <v>481</v>
      </c>
      <c r="AG495" s="15">
        <f t="shared" si="24"/>
        <v>-1</v>
      </c>
    </row>
    <row r="496" spans="31:33" x14ac:dyDescent="0.2">
      <c r="AE496" s="99">
        <f t="shared" si="25"/>
        <v>-481</v>
      </c>
      <c r="AF496" s="15">
        <f t="shared" si="23"/>
        <v>482</v>
      </c>
      <c r="AG496" s="15">
        <f t="shared" si="24"/>
        <v>-1</v>
      </c>
    </row>
    <row r="497" spans="31:33" x14ac:dyDescent="0.2">
      <c r="AE497" s="99">
        <f t="shared" si="25"/>
        <v>-482</v>
      </c>
      <c r="AF497" s="15">
        <f t="shared" si="23"/>
        <v>483</v>
      </c>
      <c r="AG497" s="15">
        <f t="shared" si="24"/>
        <v>-1</v>
      </c>
    </row>
    <row r="498" spans="31:33" x14ac:dyDescent="0.2">
      <c r="AE498" s="99">
        <f t="shared" si="25"/>
        <v>-483</v>
      </c>
      <c r="AF498" s="15">
        <f t="shared" si="23"/>
        <v>484</v>
      </c>
      <c r="AG498" s="15">
        <f t="shared" si="24"/>
        <v>-1</v>
      </c>
    </row>
    <row r="499" spans="31:33" x14ac:dyDescent="0.2">
      <c r="AE499" s="99">
        <f t="shared" si="25"/>
        <v>-484</v>
      </c>
      <c r="AF499" s="15">
        <f t="shared" si="23"/>
        <v>485</v>
      </c>
      <c r="AG499" s="15">
        <f t="shared" si="24"/>
        <v>-1</v>
      </c>
    </row>
    <row r="500" spans="31:33" x14ac:dyDescent="0.2">
      <c r="AE500" s="99">
        <f t="shared" si="25"/>
        <v>-485</v>
      </c>
      <c r="AF500" s="15">
        <f t="shared" si="23"/>
        <v>486</v>
      </c>
      <c r="AG500" s="15">
        <f t="shared" si="24"/>
        <v>-1</v>
      </c>
    </row>
    <row r="501" spans="31:33" x14ac:dyDescent="0.2">
      <c r="AE501" s="99">
        <f t="shared" si="25"/>
        <v>-486</v>
      </c>
      <c r="AF501" s="15">
        <f t="shared" si="23"/>
        <v>487</v>
      </c>
      <c r="AG501" s="15">
        <f t="shared" si="24"/>
        <v>-1</v>
      </c>
    </row>
    <row r="502" spans="31:33" x14ac:dyDescent="0.2">
      <c r="AE502" s="99">
        <f t="shared" si="25"/>
        <v>-487</v>
      </c>
      <c r="AF502" s="15">
        <f t="shared" si="23"/>
        <v>488</v>
      </c>
      <c r="AG502" s="15">
        <f t="shared" si="24"/>
        <v>-1</v>
      </c>
    </row>
    <row r="503" spans="31:33" x14ac:dyDescent="0.2">
      <c r="AE503" s="99">
        <f t="shared" si="25"/>
        <v>-488</v>
      </c>
      <c r="AF503" s="15">
        <f t="shared" si="23"/>
        <v>489</v>
      </c>
      <c r="AG503" s="15">
        <f t="shared" si="24"/>
        <v>-1</v>
      </c>
    </row>
    <row r="504" spans="31:33" x14ac:dyDescent="0.2">
      <c r="AE504" s="99">
        <f t="shared" si="25"/>
        <v>-489</v>
      </c>
      <c r="AF504" s="15">
        <f t="shared" si="23"/>
        <v>490</v>
      </c>
      <c r="AG504" s="15">
        <f t="shared" si="24"/>
        <v>-1</v>
      </c>
    </row>
    <row r="505" spans="31:33" x14ac:dyDescent="0.2">
      <c r="AE505" s="99">
        <f t="shared" si="25"/>
        <v>-490</v>
      </c>
      <c r="AF505" s="15">
        <f t="shared" si="23"/>
        <v>491</v>
      </c>
      <c r="AG505" s="15">
        <f t="shared" si="24"/>
        <v>-1</v>
      </c>
    </row>
    <row r="506" spans="31:33" x14ac:dyDescent="0.2">
      <c r="AE506" s="99">
        <f t="shared" si="25"/>
        <v>-491</v>
      </c>
      <c r="AF506" s="15">
        <f t="shared" si="23"/>
        <v>492</v>
      </c>
      <c r="AG506" s="15">
        <f t="shared" si="24"/>
        <v>-1</v>
      </c>
    </row>
    <row r="507" spans="31:33" x14ac:dyDescent="0.2">
      <c r="AE507" s="99">
        <f t="shared" si="25"/>
        <v>-492</v>
      </c>
      <c r="AF507" s="15">
        <f t="shared" si="23"/>
        <v>493</v>
      </c>
      <c r="AG507" s="15">
        <f t="shared" si="24"/>
        <v>-1</v>
      </c>
    </row>
    <row r="508" spans="31:33" x14ac:dyDescent="0.2">
      <c r="AE508" s="99">
        <f t="shared" si="25"/>
        <v>-493</v>
      </c>
      <c r="AF508" s="15">
        <f t="shared" si="23"/>
        <v>494</v>
      </c>
      <c r="AG508" s="15">
        <f t="shared" si="24"/>
        <v>-1</v>
      </c>
    </row>
    <row r="509" spans="31:33" x14ac:dyDescent="0.2">
      <c r="AE509" s="99">
        <f t="shared" si="25"/>
        <v>-494</v>
      </c>
      <c r="AF509" s="15">
        <f t="shared" si="23"/>
        <v>495</v>
      </c>
      <c r="AG509" s="15">
        <f t="shared" si="24"/>
        <v>-1</v>
      </c>
    </row>
    <row r="510" spans="31:33" x14ac:dyDescent="0.2">
      <c r="AE510" s="99">
        <f t="shared" si="25"/>
        <v>-495</v>
      </c>
      <c r="AF510" s="15">
        <f t="shared" si="23"/>
        <v>496</v>
      </c>
      <c r="AG510" s="15">
        <f t="shared" si="24"/>
        <v>-1</v>
      </c>
    </row>
    <row r="511" spans="31:33" x14ac:dyDescent="0.2">
      <c r="AE511" s="99">
        <f t="shared" si="25"/>
        <v>-496</v>
      </c>
      <c r="AF511" s="15">
        <f t="shared" si="23"/>
        <v>497</v>
      </c>
      <c r="AG511" s="15">
        <f t="shared" si="24"/>
        <v>-1</v>
      </c>
    </row>
    <row r="512" spans="31:33" x14ac:dyDescent="0.2">
      <c r="AE512" s="99">
        <f t="shared" si="25"/>
        <v>-497</v>
      </c>
      <c r="AF512" s="15">
        <f t="shared" si="23"/>
        <v>498</v>
      </c>
      <c r="AG512" s="15">
        <f t="shared" si="24"/>
        <v>-1</v>
      </c>
    </row>
    <row r="513" spans="31:33" x14ac:dyDescent="0.2">
      <c r="AE513" s="99">
        <f t="shared" si="25"/>
        <v>-498</v>
      </c>
      <c r="AF513" s="15">
        <f t="shared" si="23"/>
        <v>499</v>
      </c>
      <c r="AG513" s="15">
        <f t="shared" si="24"/>
        <v>-1</v>
      </c>
    </row>
    <row r="514" spans="31:33" x14ac:dyDescent="0.2">
      <c r="AE514" s="99">
        <f t="shared" si="25"/>
        <v>-499</v>
      </c>
      <c r="AF514" s="15">
        <f t="shared" si="23"/>
        <v>500</v>
      </c>
      <c r="AG514" s="15">
        <f t="shared" si="24"/>
        <v>-1</v>
      </c>
    </row>
    <row r="515" spans="31:33" x14ac:dyDescent="0.2">
      <c r="AE515" s="99">
        <f t="shared" si="25"/>
        <v>-500</v>
      </c>
      <c r="AF515" s="15">
        <f t="shared" si="23"/>
        <v>501</v>
      </c>
      <c r="AG515" s="15">
        <f t="shared" si="24"/>
        <v>-1</v>
      </c>
    </row>
    <row r="516" spans="31:33" x14ac:dyDescent="0.2">
      <c r="AE516" s="99">
        <f t="shared" si="25"/>
        <v>-501</v>
      </c>
      <c r="AF516" s="15">
        <f t="shared" ref="AF516:AF579" si="26">IF(AF515&gt;=1,AF515+1,IF(AE516=0,1,-1))</f>
        <v>502</v>
      </c>
      <c r="AG516" s="15">
        <f t="shared" ref="AG516:AG579" si="27">IF(AND(AG515&gt;=1,AG515&lt;$AB$3),AG515+1,IF(AE516=0,1,-1))</f>
        <v>-1</v>
      </c>
    </row>
    <row r="517" spans="31:33" x14ac:dyDescent="0.2">
      <c r="AE517" s="99">
        <f t="shared" ref="AE517:AE580" si="28">AE516-1</f>
        <v>-502</v>
      </c>
      <c r="AF517" s="15">
        <f t="shared" si="26"/>
        <v>503</v>
      </c>
      <c r="AG517" s="15">
        <f t="shared" si="27"/>
        <v>-1</v>
      </c>
    </row>
    <row r="518" spans="31:33" x14ac:dyDescent="0.2">
      <c r="AE518" s="99">
        <f t="shared" si="28"/>
        <v>-503</v>
      </c>
      <c r="AF518" s="15">
        <f t="shared" si="26"/>
        <v>504</v>
      </c>
      <c r="AG518" s="15">
        <f t="shared" si="27"/>
        <v>-1</v>
      </c>
    </row>
    <row r="519" spans="31:33" x14ac:dyDescent="0.2">
      <c r="AE519" s="99">
        <f t="shared" si="28"/>
        <v>-504</v>
      </c>
      <c r="AF519" s="15">
        <f t="shared" si="26"/>
        <v>505</v>
      </c>
      <c r="AG519" s="15">
        <f t="shared" si="27"/>
        <v>-1</v>
      </c>
    </row>
    <row r="520" spans="31:33" x14ac:dyDescent="0.2">
      <c r="AE520" s="99">
        <f t="shared" si="28"/>
        <v>-505</v>
      </c>
      <c r="AF520" s="15">
        <f t="shared" si="26"/>
        <v>506</v>
      </c>
      <c r="AG520" s="15">
        <f t="shared" si="27"/>
        <v>-1</v>
      </c>
    </row>
    <row r="521" spans="31:33" x14ac:dyDescent="0.2">
      <c r="AE521" s="99">
        <f t="shared" si="28"/>
        <v>-506</v>
      </c>
      <c r="AF521" s="15">
        <f t="shared" si="26"/>
        <v>507</v>
      </c>
      <c r="AG521" s="15">
        <f t="shared" si="27"/>
        <v>-1</v>
      </c>
    </row>
    <row r="522" spans="31:33" x14ac:dyDescent="0.2">
      <c r="AE522" s="99">
        <f t="shared" si="28"/>
        <v>-507</v>
      </c>
      <c r="AF522" s="15">
        <f t="shared" si="26"/>
        <v>508</v>
      </c>
      <c r="AG522" s="15">
        <f t="shared" si="27"/>
        <v>-1</v>
      </c>
    </row>
    <row r="523" spans="31:33" x14ac:dyDescent="0.2">
      <c r="AE523" s="99">
        <f t="shared" si="28"/>
        <v>-508</v>
      </c>
      <c r="AF523" s="15">
        <f t="shared" si="26"/>
        <v>509</v>
      </c>
      <c r="AG523" s="15">
        <f t="shared" si="27"/>
        <v>-1</v>
      </c>
    </row>
    <row r="524" spans="31:33" x14ac:dyDescent="0.2">
      <c r="AE524" s="99">
        <f t="shared" si="28"/>
        <v>-509</v>
      </c>
      <c r="AF524" s="15">
        <f t="shared" si="26"/>
        <v>510</v>
      </c>
      <c r="AG524" s="15">
        <f t="shared" si="27"/>
        <v>-1</v>
      </c>
    </row>
    <row r="525" spans="31:33" x14ac:dyDescent="0.2">
      <c r="AE525" s="99">
        <f t="shared" si="28"/>
        <v>-510</v>
      </c>
      <c r="AF525" s="15">
        <f t="shared" si="26"/>
        <v>511</v>
      </c>
      <c r="AG525" s="15">
        <f t="shared" si="27"/>
        <v>-1</v>
      </c>
    </row>
    <row r="526" spans="31:33" x14ac:dyDescent="0.2">
      <c r="AE526" s="99">
        <f t="shared" si="28"/>
        <v>-511</v>
      </c>
      <c r="AF526" s="15">
        <f t="shared" si="26"/>
        <v>512</v>
      </c>
      <c r="AG526" s="15">
        <f t="shared" si="27"/>
        <v>-1</v>
      </c>
    </row>
    <row r="527" spans="31:33" x14ac:dyDescent="0.2">
      <c r="AE527" s="99">
        <f t="shared" si="28"/>
        <v>-512</v>
      </c>
      <c r="AF527" s="15">
        <f t="shared" si="26"/>
        <v>513</v>
      </c>
      <c r="AG527" s="15">
        <f t="shared" si="27"/>
        <v>-1</v>
      </c>
    </row>
    <row r="528" spans="31:33" x14ac:dyDescent="0.2">
      <c r="AE528" s="99">
        <f t="shared" si="28"/>
        <v>-513</v>
      </c>
      <c r="AF528" s="15">
        <f t="shared" si="26"/>
        <v>514</v>
      </c>
      <c r="AG528" s="15">
        <f t="shared" si="27"/>
        <v>-1</v>
      </c>
    </row>
    <row r="529" spans="31:33" x14ac:dyDescent="0.2">
      <c r="AE529" s="99">
        <f t="shared" si="28"/>
        <v>-514</v>
      </c>
      <c r="AF529" s="15">
        <f t="shared" si="26"/>
        <v>515</v>
      </c>
      <c r="AG529" s="15">
        <f t="shared" si="27"/>
        <v>-1</v>
      </c>
    </row>
    <row r="530" spans="31:33" x14ac:dyDescent="0.2">
      <c r="AE530" s="99">
        <f t="shared" si="28"/>
        <v>-515</v>
      </c>
      <c r="AF530" s="15">
        <f t="shared" si="26"/>
        <v>516</v>
      </c>
      <c r="AG530" s="15">
        <f t="shared" si="27"/>
        <v>-1</v>
      </c>
    </row>
    <row r="531" spans="31:33" x14ac:dyDescent="0.2">
      <c r="AE531" s="99">
        <f t="shared" si="28"/>
        <v>-516</v>
      </c>
      <c r="AF531" s="15">
        <f t="shared" si="26"/>
        <v>517</v>
      </c>
      <c r="AG531" s="15">
        <f t="shared" si="27"/>
        <v>-1</v>
      </c>
    </row>
    <row r="532" spans="31:33" x14ac:dyDescent="0.2">
      <c r="AE532" s="99">
        <f t="shared" si="28"/>
        <v>-517</v>
      </c>
      <c r="AF532" s="15">
        <f t="shared" si="26"/>
        <v>518</v>
      </c>
      <c r="AG532" s="15">
        <f t="shared" si="27"/>
        <v>-1</v>
      </c>
    </row>
    <row r="533" spans="31:33" x14ac:dyDescent="0.2">
      <c r="AE533" s="99">
        <f t="shared" si="28"/>
        <v>-518</v>
      </c>
      <c r="AF533" s="15">
        <f t="shared" si="26"/>
        <v>519</v>
      </c>
      <c r="AG533" s="15">
        <f t="shared" si="27"/>
        <v>-1</v>
      </c>
    </row>
    <row r="534" spans="31:33" x14ac:dyDescent="0.2">
      <c r="AE534" s="99">
        <f t="shared" si="28"/>
        <v>-519</v>
      </c>
      <c r="AF534" s="15">
        <f t="shared" si="26"/>
        <v>520</v>
      </c>
      <c r="AG534" s="15">
        <f t="shared" si="27"/>
        <v>-1</v>
      </c>
    </row>
    <row r="535" spans="31:33" x14ac:dyDescent="0.2">
      <c r="AE535" s="99">
        <f t="shared" si="28"/>
        <v>-520</v>
      </c>
      <c r="AF535" s="15">
        <f t="shared" si="26"/>
        <v>521</v>
      </c>
      <c r="AG535" s="15">
        <f t="shared" si="27"/>
        <v>-1</v>
      </c>
    </row>
    <row r="536" spans="31:33" x14ac:dyDescent="0.2">
      <c r="AE536" s="99">
        <f t="shared" si="28"/>
        <v>-521</v>
      </c>
      <c r="AF536" s="15">
        <f t="shared" si="26"/>
        <v>522</v>
      </c>
      <c r="AG536" s="15">
        <f t="shared" si="27"/>
        <v>-1</v>
      </c>
    </row>
    <row r="537" spans="31:33" x14ac:dyDescent="0.2">
      <c r="AE537" s="99">
        <f t="shared" si="28"/>
        <v>-522</v>
      </c>
      <c r="AF537" s="15">
        <f t="shared" si="26"/>
        <v>523</v>
      </c>
      <c r="AG537" s="15">
        <f t="shared" si="27"/>
        <v>-1</v>
      </c>
    </row>
    <row r="538" spans="31:33" x14ac:dyDescent="0.2">
      <c r="AE538" s="99">
        <f t="shared" si="28"/>
        <v>-523</v>
      </c>
      <c r="AF538" s="15">
        <f t="shared" si="26"/>
        <v>524</v>
      </c>
      <c r="AG538" s="15">
        <f t="shared" si="27"/>
        <v>-1</v>
      </c>
    </row>
    <row r="539" spans="31:33" x14ac:dyDescent="0.2">
      <c r="AE539" s="99">
        <f t="shared" si="28"/>
        <v>-524</v>
      </c>
      <c r="AF539" s="15">
        <f t="shared" si="26"/>
        <v>525</v>
      </c>
      <c r="AG539" s="15">
        <f t="shared" si="27"/>
        <v>-1</v>
      </c>
    </row>
    <row r="540" spans="31:33" x14ac:dyDescent="0.2">
      <c r="AE540" s="99">
        <f t="shared" si="28"/>
        <v>-525</v>
      </c>
      <c r="AF540" s="15">
        <f t="shared" si="26"/>
        <v>526</v>
      </c>
      <c r="AG540" s="15">
        <f t="shared" si="27"/>
        <v>-1</v>
      </c>
    </row>
    <row r="541" spans="31:33" x14ac:dyDescent="0.2">
      <c r="AE541" s="99">
        <f t="shared" si="28"/>
        <v>-526</v>
      </c>
      <c r="AF541" s="15">
        <f t="shared" si="26"/>
        <v>527</v>
      </c>
      <c r="AG541" s="15">
        <f t="shared" si="27"/>
        <v>-1</v>
      </c>
    </row>
    <row r="542" spans="31:33" x14ac:dyDescent="0.2">
      <c r="AE542" s="99">
        <f t="shared" si="28"/>
        <v>-527</v>
      </c>
      <c r="AF542" s="15">
        <f t="shared" si="26"/>
        <v>528</v>
      </c>
      <c r="AG542" s="15">
        <f t="shared" si="27"/>
        <v>-1</v>
      </c>
    </row>
    <row r="543" spans="31:33" x14ac:dyDescent="0.2">
      <c r="AE543" s="99">
        <f t="shared" si="28"/>
        <v>-528</v>
      </c>
      <c r="AF543" s="15">
        <f t="shared" si="26"/>
        <v>529</v>
      </c>
      <c r="AG543" s="15">
        <f t="shared" si="27"/>
        <v>-1</v>
      </c>
    </row>
    <row r="544" spans="31:33" x14ac:dyDescent="0.2">
      <c r="AE544" s="99">
        <f t="shared" si="28"/>
        <v>-529</v>
      </c>
      <c r="AF544" s="15">
        <f t="shared" si="26"/>
        <v>530</v>
      </c>
      <c r="AG544" s="15">
        <f t="shared" si="27"/>
        <v>-1</v>
      </c>
    </row>
    <row r="545" spans="31:33" x14ac:dyDescent="0.2">
      <c r="AE545" s="99">
        <f t="shared" si="28"/>
        <v>-530</v>
      </c>
      <c r="AF545" s="15">
        <f t="shared" si="26"/>
        <v>531</v>
      </c>
      <c r="AG545" s="15">
        <f t="shared" si="27"/>
        <v>-1</v>
      </c>
    </row>
    <row r="546" spans="31:33" x14ac:dyDescent="0.2">
      <c r="AE546" s="99">
        <f t="shared" si="28"/>
        <v>-531</v>
      </c>
      <c r="AF546" s="15">
        <f t="shared" si="26"/>
        <v>532</v>
      </c>
      <c r="AG546" s="15">
        <f t="shared" si="27"/>
        <v>-1</v>
      </c>
    </row>
    <row r="547" spans="31:33" x14ac:dyDescent="0.2">
      <c r="AE547" s="99">
        <f t="shared" si="28"/>
        <v>-532</v>
      </c>
      <c r="AF547" s="15">
        <f t="shared" si="26"/>
        <v>533</v>
      </c>
      <c r="AG547" s="15">
        <f t="shared" si="27"/>
        <v>-1</v>
      </c>
    </row>
    <row r="548" spans="31:33" x14ac:dyDescent="0.2">
      <c r="AE548" s="99">
        <f t="shared" si="28"/>
        <v>-533</v>
      </c>
      <c r="AF548" s="15">
        <f t="shared" si="26"/>
        <v>534</v>
      </c>
      <c r="AG548" s="15">
        <f t="shared" si="27"/>
        <v>-1</v>
      </c>
    </row>
    <row r="549" spans="31:33" x14ac:dyDescent="0.2">
      <c r="AE549" s="99">
        <f t="shared" si="28"/>
        <v>-534</v>
      </c>
      <c r="AF549" s="15">
        <f t="shared" si="26"/>
        <v>535</v>
      </c>
      <c r="AG549" s="15">
        <f t="shared" si="27"/>
        <v>-1</v>
      </c>
    </row>
    <row r="550" spans="31:33" x14ac:dyDescent="0.2">
      <c r="AE550" s="99">
        <f t="shared" si="28"/>
        <v>-535</v>
      </c>
      <c r="AF550" s="15">
        <f t="shared" si="26"/>
        <v>536</v>
      </c>
      <c r="AG550" s="15">
        <f t="shared" si="27"/>
        <v>-1</v>
      </c>
    </row>
    <row r="551" spans="31:33" x14ac:dyDescent="0.2">
      <c r="AE551" s="99">
        <f t="shared" si="28"/>
        <v>-536</v>
      </c>
      <c r="AF551" s="15">
        <f t="shared" si="26"/>
        <v>537</v>
      </c>
      <c r="AG551" s="15">
        <f t="shared" si="27"/>
        <v>-1</v>
      </c>
    </row>
    <row r="552" spans="31:33" x14ac:dyDescent="0.2">
      <c r="AE552" s="99">
        <f t="shared" si="28"/>
        <v>-537</v>
      </c>
      <c r="AF552" s="15">
        <f t="shared" si="26"/>
        <v>538</v>
      </c>
      <c r="AG552" s="15">
        <f t="shared" si="27"/>
        <v>-1</v>
      </c>
    </row>
    <row r="553" spans="31:33" x14ac:dyDescent="0.2">
      <c r="AE553" s="99">
        <f t="shared" si="28"/>
        <v>-538</v>
      </c>
      <c r="AF553" s="15">
        <f t="shared" si="26"/>
        <v>539</v>
      </c>
      <c r="AG553" s="15">
        <f t="shared" si="27"/>
        <v>-1</v>
      </c>
    </row>
    <row r="554" spans="31:33" x14ac:dyDescent="0.2">
      <c r="AE554" s="99">
        <f t="shared" si="28"/>
        <v>-539</v>
      </c>
      <c r="AF554" s="15">
        <f t="shared" si="26"/>
        <v>540</v>
      </c>
      <c r="AG554" s="15">
        <f t="shared" si="27"/>
        <v>-1</v>
      </c>
    </row>
    <row r="555" spans="31:33" x14ac:dyDescent="0.2">
      <c r="AE555" s="99">
        <f t="shared" si="28"/>
        <v>-540</v>
      </c>
      <c r="AF555" s="15">
        <f t="shared" si="26"/>
        <v>541</v>
      </c>
      <c r="AG555" s="15">
        <f t="shared" si="27"/>
        <v>-1</v>
      </c>
    </row>
    <row r="556" spans="31:33" x14ac:dyDescent="0.2">
      <c r="AE556" s="99">
        <f t="shared" si="28"/>
        <v>-541</v>
      </c>
      <c r="AF556" s="15">
        <f t="shared" si="26"/>
        <v>542</v>
      </c>
      <c r="AG556" s="15">
        <f t="shared" si="27"/>
        <v>-1</v>
      </c>
    </row>
    <row r="557" spans="31:33" x14ac:dyDescent="0.2">
      <c r="AE557" s="99">
        <f t="shared" si="28"/>
        <v>-542</v>
      </c>
      <c r="AF557" s="15">
        <f t="shared" si="26"/>
        <v>543</v>
      </c>
      <c r="AG557" s="15">
        <f t="shared" si="27"/>
        <v>-1</v>
      </c>
    </row>
    <row r="558" spans="31:33" x14ac:dyDescent="0.2">
      <c r="AE558" s="99">
        <f t="shared" si="28"/>
        <v>-543</v>
      </c>
      <c r="AF558" s="15">
        <f t="shared" si="26"/>
        <v>544</v>
      </c>
      <c r="AG558" s="15">
        <f t="shared" si="27"/>
        <v>-1</v>
      </c>
    </row>
    <row r="559" spans="31:33" x14ac:dyDescent="0.2">
      <c r="AE559" s="99">
        <f t="shared" si="28"/>
        <v>-544</v>
      </c>
      <c r="AF559" s="15">
        <f t="shared" si="26"/>
        <v>545</v>
      </c>
      <c r="AG559" s="15">
        <f t="shared" si="27"/>
        <v>-1</v>
      </c>
    </row>
    <row r="560" spans="31:33" x14ac:dyDescent="0.2">
      <c r="AE560" s="99">
        <f t="shared" si="28"/>
        <v>-545</v>
      </c>
      <c r="AF560" s="15">
        <f t="shared" si="26"/>
        <v>546</v>
      </c>
      <c r="AG560" s="15">
        <f t="shared" si="27"/>
        <v>-1</v>
      </c>
    </row>
    <row r="561" spans="31:33" x14ac:dyDescent="0.2">
      <c r="AE561" s="99">
        <f t="shared" si="28"/>
        <v>-546</v>
      </c>
      <c r="AF561" s="15">
        <f t="shared" si="26"/>
        <v>547</v>
      </c>
      <c r="AG561" s="15">
        <f t="shared" si="27"/>
        <v>-1</v>
      </c>
    </row>
    <row r="562" spans="31:33" x14ac:dyDescent="0.2">
      <c r="AE562" s="99">
        <f t="shared" si="28"/>
        <v>-547</v>
      </c>
      <c r="AF562" s="15">
        <f t="shared" si="26"/>
        <v>548</v>
      </c>
      <c r="AG562" s="15">
        <f t="shared" si="27"/>
        <v>-1</v>
      </c>
    </row>
    <row r="563" spans="31:33" x14ac:dyDescent="0.2">
      <c r="AE563" s="99">
        <f t="shared" si="28"/>
        <v>-548</v>
      </c>
      <c r="AF563" s="15">
        <f t="shared" si="26"/>
        <v>549</v>
      </c>
      <c r="AG563" s="15">
        <f t="shared" si="27"/>
        <v>-1</v>
      </c>
    </row>
    <row r="564" spans="31:33" x14ac:dyDescent="0.2">
      <c r="AE564" s="99">
        <f t="shared" si="28"/>
        <v>-549</v>
      </c>
      <c r="AF564" s="15">
        <f t="shared" si="26"/>
        <v>550</v>
      </c>
      <c r="AG564" s="15">
        <f t="shared" si="27"/>
        <v>-1</v>
      </c>
    </row>
    <row r="565" spans="31:33" x14ac:dyDescent="0.2">
      <c r="AE565" s="99">
        <f t="shared" si="28"/>
        <v>-550</v>
      </c>
      <c r="AF565" s="15">
        <f t="shared" si="26"/>
        <v>551</v>
      </c>
      <c r="AG565" s="15">
        <f t="shared" si="27"/>
        <v>-1</v>
      </c>
    </row>
    <row r="566" spans="31:33" x14ac:dyDescent="0.2">
      <c r="AE566" s="99">
        <f t="shared" si="28"/>
        <v>-551</v>
      </c>
      <c r="AF566" s="15">
        <f t="shared" si="26"/>
        <v>552</v>
      </c>
      <c r="AG566" s="15">
        <f t="shared" si="27"/>
        <v>-1</v>
      </c>
    </row>
    <row r="567" spans="31:33" x14ac:dyDescent="0.2">
      <c r="AE567" s="99">
        <f t="shared" si="28"/>
        <v>-552</v>
      </c>
      <c r="AF567" s="15">
        <f t="shared" si="26"/>
        <v>553</v>
      </c>
      <c r="AG567" s="15">
        <f t="shared" si="27"/>
        <v>-1</v>
      </c>
    </row>
    <row r="568" spans="31:33" x14ac:dyDescent="0.2">
      <c r="AE568" s="99">
        <f t="shared" si="28"/>
        <v>-553</v>
      </c>
      <c r="AF568" s="15">
        <f t="shared" si="26"/>
        <v>554</v>
      </c>
      <c r="AG568" s="15">
        <f t="shared" si="27"/>
        <v>-1</v>
      </c>
    </row>
    <row r="569" spans="31:33" x14ac:dyDescent="0.2">
      <c r="AE569" s="99">
        <f t="shared" si="28"/>
        <v>-554</v>
      </c>
      <c r="AF569" s="15">
        <f t="shared" si="26"/>
        <v>555</v>
      </c>
      <c r="AG569" s="15">
        <f t="shared" si="27"/>
        <v>-1</v>
      </c>
    </row>
    <row r="570" spans="31:33" x14ac:dyDescent="0.2">
      <c r="AE570" s="99">
        <f t="shared" si="28"/>
        <v>-555</v>
      </c>
      <c r="AF570" s="15">
        <f t="shared" si="26"/>
        <v>556</v>
      </c>
      <c r="AG570" s="15">
        <f t="shared" si="27"/>
        <v>-1</v>
      </c>
    </row>
    <row r="571" spans="31:33" x14ac:dyDescent="0.2">
      <c r="AE571" s="99">
        <f t="shared" si="28"/>
        <v>-556</v>
      </c>
      <c r="AF571" s="15">
        <f t="shared" si="26"/>
        <v>557</v>
      </c>
      <c r="AG571" s="15">
        <f t="shared" si="27"/>
        <v>-1</v>
      </c>
    </row>
    <row r="572" spans="31:33" x14ac:dyDescent="0.2">
      <c r="AE572" s="99">
        <f t="shared" si="28"/>
        <v>-557</v>
      </c>
      <c r="AF572" s="15">
        <f t="shared" si="26"/>
        <v>558</v>
      </c>
      <c r="AG572" s="15">
        <f t="shared" si="27"/>
        <v>-1</v>
      </c>
    </row>
    <row r="573" spans="31:33" x14ac:dyDescent="0.2">
      <c r="AE573" s="99">
        <f t="shared" si="28"/>
        <v>-558</v>
      </c>
      <c r="AF573" s="15">
        <f t="shared" si="26"/>
        <v>559</v>
      </c>
      <c r="AG573" s="15">
        <f t="shared" si="27"/>
        <v>-1</v>
      </c>
    </row>
    <row r="574" spans="31:33" x14ac:dyDescent="0.2">
      <c r="AE574" s="99">
        <f t="shared" si="28"/>
        <v>-559</v>
      </c>
      <c r="AF574" s="15">
        <f t="shared" si="26"/>
        <v>560</v>
      </c>
      <c r="AG574" s="15">
        <f t="shared" si="27"/>
        <v>-1</v>
      </c>
    </row>
    <row r="575" spans="31:33" x14ac:dyDescent="0.2">
      <c r="AE575" s="99">
        <f t="shared" si="28"/>
        <v>-560</v>
      </c>
      <c r="AF575" s="15">
        <f t="shared" si="26"/>
        <v>561</v>
      </c>
      <c r="AG575" s="15">
        <f t="shared" si="27"/>
        <v>-1</v>
      </c>
    </row>
    <row r="576" spans="31:33" x14ac:dyDescent="0.2">
      <c r="AE576" s="99">
        <f t="shared" si="28"/>
        <v>-561</v>
      </c>
      <c r="AF576" s="15">
        <f t="shared" si="26"/>
        <v>562</v>
      </c>
      <c r="AG576" s="15">
        <f t="shared" si="27"/>
        <v>-1</v>
      </c>
    </row>
    <row r="577" spans="31:33" x14ac:dyDescent="0.2">
      <c r="AE577" s="99">
        <f t="shared" si="28"/>
        <v>-562</v>
      </c>
      <c r="AF577" s="15">
        <f t="shared" si="26"/>
        <v>563</v>
      </c>
      <c r="AG577" s="15">
        <f t="shared" si="27"/>
        <v>-1</v>
      </c>
    </row>
    <row r="578" spans="31:33" x14ac:dyDescent="0.2">
      <c r="AE578" s="99">
        <f t="shared" si="28"/>
        <v>-563</v>
      </c>
      <c r="AF578" s="15">
        <f t="shared" si="26"/>
        <v>564</v>
      </c>
      <c r="AG578" s="15">
        <f t="shared" si="27"/>
        <v>-1</v>
      </c>
    </row>
    <row r="579" spans="31:33" x14ac:dyDescent="0.2">
      <c r="AE579" s="99">
        <f t="shared" si="28"/>
        <v>-564</v>
      </c>
      <c r="AF579" s="15">
        <f t="shared" si="26"/>
        <v>565</v>
      </c>
      <c r="AG579" s="15">
        <f t="shared" si="27"/>
        <v>-1</v>
      </c>
    </row>
    <row r="580" spans="31:33" x14ac:dyDescent="0.2">
      <c r="AE580" s="99">
        <f t="shared" si="28"/>
        <v>-565</v>
      </c>
      <c r="AF580" s="15">
        <f t="shared" ref="AF580:AF643" si="29">IF(AF579&gt;=1,AF579+1,IF(AE580=0,1,-1))</f>
        <v>566</v>
      </c>
      <c r="AG580" s="15">
        <f t="shared" ref="AG580:AG643" si="30">IF(AND(AG579&gt;=1,AG579&lt;$AB$3),AG579+1,IF(AE580=0,1,-1))</f>
        <v>-1</v>
      </c>
    </row>
    <row r="581" spans="31:33" x14ac:dyDescent="0.2">
      <c r="AE581" s="99">
        <f t="shared" ref="AE581:AE644" si="31">AE580-1</f>
        <v>-566</v>
      </c>
      <c r="AF581" s="15">
        <f t="shared" si="29"/>
        <v>567</v>
      </c>
      <c r="AG581" s="15">
        <f t="shared" si="30"/>
        <v>-1</v>
      </c>
    </row>
    <row r="582" spans="31:33" x14ac:dyDescent="0.2">
      <c r="AE582" s="99">
        <f t="shared" si="31"/>
        <v>-567</v>
      </c>
      <c r="AF582" s="15">
        <f t="shared" si="29"/>
        <v>568</v>
      </c>
      <c r="AG582" s="15">
        <f t="shared" si="30"/>
        <v>-1</v>
      </c>
    </row>
    <row r="583" spans="31:33" x14ac:dyDescent="0.2">
      <c r="AE583" s="99">
        <f t="shared" si="31"/>
        <v>-568</v>
      </c>
      <c r="AF583" s="15">
        <f t="shared" si="29"/>
        <v>569</v>
      </c>
      <c r="AG583" s="15">
        <f t="shared" si="30"/>
        <v>-1</v>
      </c>
    </row>
    <row r="584" spans="31:33" x14ac:dyDescent="0.2">
      <c r="AE584" s="99">
        <f t="shared" si="31"/>
        <v>-569</v>
      </c>
      <c r="AF584" s="15">
        <f t="shared" si="29"/>
        <v>570</v>
      </c>
      <c r="AG584" s="15">
        <f t="shared" si="30"/>
        <v>-1</v>
      </c>
    </row>
    <row r="585" spans="31:33" x14ac:dyDescent="0.2">
      <c r="AE585" s="99">
        <f t="shared" si="31"/>
        <v>-570</v>
      </c>
      <c r="AF585" s="15">
        <f t="shared" si="29"/>
        <v>571</v>
      </c>
      <c r="AG585" s="15">
        <f t="shared" si="30"/>
        <v>-1</v>
      </c>
    </row>
    <row r="586" spans="31:33" x14ac:dyDescent="0.2">
      <c r="AE586" s="99">
        <f t="shared" si="31"/>
        <v>-571</v>
      </c>
      <c r="AF586" s="15">
        <f t="shared" si="29"/>
        <v>572</v>
      </c>
      <c r="AG586" s="15">
        <f t="shared" si="30"/>
        <v>-1</v>
      </c>
    </row>
    <row r="587" spans="31:33" x14ac:dyDescent="0.2">
      <c r="AE587" s="99">
        <f t="shared" si="31"/>
        <v>-572</v>
      </c>
      <c r="AF587" s="15">
        <f t="shared" si="29"/>
        <v>573</v>
      </c>
      <c r="AG587" s="15">
        <f t="shared" si="30"/>
        <v>-1</v>
      </c>
    </row>
    <row r="588" spans="31:33" x14ac:dyDescent="0.2">
      <c r="AE588" s="99">
        <f t="shared" si="31"/>
        <v>-573</v>
      </c>
      <c r="AF588" s="15">
        <f t="shared" si="29"/>
        <v>574</v>
      </c>
      <c r="AG588" s="15">
        <f t="shared" si="30"/>
        <v>-1</v>
      </c>
    </row>
    <row r="589" spans="31:33" x14ac:dyDescent="0.2">
      <c r="AE589" s="99">
        <f t="shared" si="31"/>
        <v>-574</v>
      </c>
      <c r="AF589" s="15">
        <f t="shared" si="29"/>
        <v>575</v>
      </c>
      <c r="AG589" s="15">
        <f t="shared" si="30"/>
        <v>-1</v>
      </c>
    </row>
    <row r="590" spans="31:33" x14ac:dyDescent="0.2">
      <c r="AE590" s="99">
        <f t="shared" si="31"/>
        <v>-575</v>
      </c>
      <c r="AF590" s="15">
        <f t="shared" si="29"/>
        <v>576</v>
      </c>
      <c r="AG590" s="15">
        <f t="shared" si="30"/>
        <v>-1</v>
      </c>
    </row>
    <row r="591" spans="31:33" x14ac:dyDescent="0.2">
      <c r="AE591" s="99">
        <f t="shared" si="31"/>
        <v>-576</v>
      </c>
      <c r="AF591" s="15">
        <f t="shared" si="29"/>
        <v>577</v>
      </c>
      <c r="AG591" s="15">
        <f t="shared" si="30"/>
        <v>-1</v>
      </c>
    </row>
    <row r="592" spans="31:33" x14ac:dyDescent="0.2">
      <c r="AE592" s="99">
        <f t="shared" si="31"/>
        <v>-577</v>
      </c>
      <c r="AF592" s="15">
        <f t="shared" si="29"/>
        <v>578</v>
      </c>
      <c r="AG592" s="15">
        <f t="shared" si="30"/>
        <v>-1</v>
      </c>
    </row>
    <row r="593" spans="31:33" x14ac:dyDescent="0.2">
      <c r="AE593" s="99">
        <f t="shared" si="31"/>
        <v>-578</v>
      </c>
      <c r="AF593" s="15">
        <f t="shared" si="29"/>
        <v>579</v>
      </c>
      <c r="AG593" s="15">
        <f t="shared" si="30"/>
        <v>-1</v>
      </c>
    </row>
    <row r="594" spans="31:33" x14ac:dyDescent="0.2">
      <c r="AE594" s="99">
        <f t="shared" si="31"/>
        <v>-579</v>
      </c>
      <c r="AF594" s="15">
        <f t="shared" si="29"/>
        <v>580</v>
      </c>
      <c r="AG594" s="15">
        <f t="shared" si="30"/>
        <v>-1</v>
      </c>
    </row>
    <row r="595" spans="31:33" x14ac:dyDescent="0.2">
      <c r="AE595" s="99">
        <f t="shared" si="31"/>
        <v>-580</v>
      </c>
      <c r="AF595" s="15">
        <f t="shared" si="29"/>
        <v>581</v>
      </c>
      <c r="AG595" s="15">
        <f t="shared" si="30"/>
        <v>-1</v>
      </c>
    </row>
    <row r="596" spans="31:33" x14ac:dyDescent="0.2">
      <c r="AE596" s="99">
        <f t="shared" si="31"/>
        <v>-581</v>
      </c>
      <c r="AF596" s="15">
        <f t="shared" si="29"/>
        <v>582</v>
      </c>
      <c r="AG596" s="15">
        <f t="shared" si="30"/>
        <v>-1</v>
      </c>
    </row>
    <row r="597" spans="31:33" x14ac:dyDescent="0.2">
      <c r="AE597" s="99">
        <f t="shared" si="31"/>
        <v>-582</v>
      </c>
      <c r="AF597" s="15">
        <f t="shared" si="29"/>
        <v>583</v>
      </c>
      <c r="AG597" s="15">
        <f t="shared" si="30"/>
        <v>-1</v>
      </c>
    </row>
    <row r="598" spans="31:33" x14ac:dyDescent="0.2">
      <c r="AE598" s="99">
        <f t="shared" si="31"/>
        <v>-583</v>
      </c>
      <c r="AF598" s="15">
        <f t="shared" si="29"/>
        <v>584</v>
      </c>
      <c r="AG598" s="15">
        <f t="shared" si="30"/>
        <v>-1</v>
      </c>
    </row>
    <row r="599" spans="31:33" x14ac:dyDescent="0.2">
      <c r="AE599" s="99">
        <f t="shared" si="31"/>
        <v>-584</v>
      </c>
      <c r="AF599" s="15">
        <f t="shared" si="29"/>
        <v>585</v>
      </c>
      <c r="AG599" s="15">
        <f t="shared" si="30"/>
        <v>-1</v>
      </c>
    </row>
    <row r="600" spans="31:33" x14ac:dyDescent="0.2">
      <c r="AE600" s="99">
        <f t="shared" si="31"/>
        <v>-585</v>
      </c>
      <c r="AF600" s="15">
        <f t="shared" si="29"/>
        <v>586</v>
      </c>
      <c r="AG600" s="15">
        <f t="shared" si="30"/>
        <v>-1</v>
      </c>
    </row>
    <row r="601" spans="31:33" x14ac:dyDescent="0.2">
      <c r="AE601" s="99">
        <f t="shared" si="31"/>
        <v>-586</v>
      </c>
      <c r="AF601" s="15">
        <f t="shared" si="29"/>
        <v>587</v>
      </c>
      <c r="AG601" s="15">
        <f t="shared" si="30"/>
        <v>-1</v>
      </c>
    </row>
    <row r="602" spans="31:33" x14ac:dyDescent="0.2">
      <c r="AE602" s="99">
        <f t="shared" si="31"/>
        <v>-587</v>
      </c>
      <c r="AF602" s="15">
        <f t="shared" si="29"/>
        <v>588</v>
      </c>
      <c r="AG602" s="15">
        <f t="shared" si="30"/>
        <v>-1</v>
      </c>
    </row>
    <row r="603" spans="31:33" x14ac:dyDescent="0.2">
      <c r="AE603" s="99">
        <f t="shared" si="31"/>
        <v>-588</v>
      </c>
      <c r="AF603" s="15">
        <f t="shared" si="29"/>
        <v>589</v>
      </c>
      <c r="AG603" s="15">
        <f t="shared" si="30"/>
        <v>-1</v>
      </c>
    </row>
    <row r="604" spans="31:33" x14ac:dyDescent="0.2">
      <c r="AE604" s="99">
        <f t="shared" si="31"/>
        <v>-589</v>
      </c>
      <c r="AF604" s="15">
        <f t="shared" si="29"/>
        <v>590</v>
      </c>
      <c r="AG604" s="15">
        <f t="shared" si="30"/>
        <v>-1</v>
      </c>
    </row>
    <row r="605" spans="31:33" x14ac:dyDescent="0.2">
      <c r="AE605" s="99">
        <f t="shared" si="31"/>
        <v>-590</v>
      </c>
      <c r="AF605" s="15">
        <f t="shared" si="29"/>
        <v>591</v>
      </c>
      <c r="AG605" s="15">
        <f t="shared" si="30"/>
        <v>-1</v>
      </c>
    </row>
    <row r="606" spans="31:33" x14ac:dyDescent="0.2">
      <c r="AE606" s="99">
        <f t="shared" si="31"/>
        <v>-591</v>
      </c>
      <c r="AF606" s="15">
        <f t="shared" si="29"/>
        <v>592</v>
      </c>
      <c r="AG606" s="15">
        <f t="shared" si="30"/>
        <v>-1</v>
      </c>
    </row>
    <row r="607" spans="31:33" x14ac:dyDescent="0.2">
      <c r="AE607" s="99">
        <f t="shared" si="31"/>
        <v>-592</v>
      </c>
      <c r="AF607" s="15">
        <f t="shared" si="29"/>
        <v>593</v>
      </c>
      <c r="AG607" s="15">
        <f t="shared" si="30"/>
        <v>-1</v>
      </c>
    </row>
    <row r="608" spans="31:33" x14ac:dyDescent="0.2">
      <c r="AE608" s="99">
        <f t="shared" si="31"/>
        <v>-593</v>
      </c>
      <c r="AF608" s="15">
        <f t="shared" si="29"/>
        <v>594</v>
      </c>
      <c r="AG608" s="15">
        <f t="shared" si="30"/>
        <v>-1</v>
      </c>
    </row>
    <row r="609" spans="31:33" x14ac:dyDescent="0.2">
      <c r="AE609" s="99">
        <f t="shared" si="31"/>
        <v>-594</v>
      </c>
      <c r="AF609" s="15">
        <f t="shared" si="29"/>
        <v>595</v>
      </c>
      <c r="AG609" s="15">
        <f t="shared" si="30"/>
        <v>-1</v>
      </c>
    </row>
    <row r="610" spans="31:33" x14ac:dyDescent="0.2">
      <c r="AE610" s="99">
        <f t="shared" si="31"/>
        <v>-595</v>
      </c>
      <c r="AF610" s="15">
        <f t="shared" si="29"/>
        <v>596</v>
      </c>
      <c r="AG610" s="15">
        <f t="shared" si="30"/>
        <v>-1</v>
      </c>
    </row>
    <row r="611" spans="31:33" x14ac:dyDescent="0.2">
      <c r="AE611" s="99">
        <f t="shared" si="31"/>
        <v>-596</v>
      </c>
      <c r="AF611" s="15">
        <f t="shared" si="29"/>
        <v>597</v>
      </c>
      <c r="AG611" s="15">
        <f t="shared" si="30"/>
        <v>-1</v>
      </c>
    </row>
    <row r="612" spans="31:33" x14ac:dyDescent="0.2">
      <c r="AE612" s="99">
        <f t="shared" si="31"/>
        <v>-597</v>
      </c>
      <c r="AF612" s="15">
        <f t="shared" si="29"/>
        <v>598</v>
      </c>
      <c r="AG612" s="15">
        <f t="shared" si="30"/>
        <v>-1</v>
      </c>
    </row>
    <row r="613" spans="31:33" x14ac:dyDescent="0.2">
      <c r="AE613" s="99">
        <f t="shared" si="31"/>
        <v>-598</v>
      </c>
      <c r="AF613" s="15">
        <f t="shared" si="29"/>
        <v>599</v>
      </c>
      <c r="AG613" s="15">
        <f t="shared" si="30"/>
        <v>-1</v>
      </c>
    </row>
    <row r="614" spans="31:33" x14ac:dyDescent="0.2">
      <c r="AE614" s="99">
        <f t="shared" si="31"/>
        <v>-599</v>
      </c>
      <c r="AF614" s="15">
        <f t="shared" si="29"/>
        <v>600</v>
      </c>
      <c r="AG614" s="15">
        <f t="shared" si="30"/>
        <v>-1</v>
      </c>
    </row>
    <row r="615" spans="31:33" x14ac:dyDescent="0.2">
      <c r="AE615" s="99">
        <f t="shared" si="31"/>
        <v>-600</v>
      </c>
      <c r="AF615" s="15">
        <f t="shared" si="29"/>
        <v>601</v>
      </c>
      <c r="AG615" s="15">
        <f t="shared" si="30"/>
        <v>-1</v>
      </c>
    </row>
    <row r="616" spans="31:33" x14ac:dyDescent="0.2">
      <c r="AE616" s="99">
        <f t="shared" si="31"/>
        <v>-601</v>
      </c>
      <c r="AF616" s="15">
        <f t="shared" si="29"/>
        <v>602</v>
      </c>
      <c r="AG616" s="15">
        <f t="shared" si="30"/>
        <v>-1</v>
      </c>
    </row>
    <row r="617" spans="31:33" x14ac:dyDescent="0.2">
      <c r="AE617" s="99">
        <f t="shared" si="31"/>
        <v>-602</v>
      </c>
      <c r="AF617" s="15">
        <f t="shared" si="29"/>
        <v>603</v>
      </c>
      <c r="AG617" s="15">
        <f t="shared" si="30"/>
        <v>-1</v>
      </c>
    </row>
    <row r="618" spans="31:33" x14ac:dyDescent="0.2">
      <c r="AE618" s="99">
        <f t="shared" si="31"/>
        <v>-603</v>
      </c>
      <c r="AF618" s="15">
        <f t="shared" si="29"/>
        <v>604</v>
      </c>
      <c r="AG618" s="15">
        <f t="shared" si="30"/>
        <v>-1</v>
      </c>
    </row>
    <row r="619" spans="31:33" x14ac:dyDescent="0.2">
      <c r="AE619" s="99">
        <f t="shared" si="31"/>
        <v>-604</v>
      </c>
      <c r="AF619" s="15">
        <f t="shared" si="29"/>
        <v>605</v>
      </c>
      <c r="AG619" s="15">
        <f t="shared" si="30"/>
        <v>-1</v>
      </c>
    </row>
    <row r="620" spans="31:33" x14ac:dyDescent="0.2">
      <c r="AE620" s="99">
        <f t="shared" si="31"/>
        <v>-605</v>
      </c>
      <c r="AF620" s="15">
        <f t="shared" si="29"/>
        <v>606</v>
      </c>
      <c r="AG620" s="15">
        <f t="shared" si="30"/>
        <v>-1</v>
      </c>
    </row>
    <row r="621" spans="31:33" x14ac:dyDescent="0.2">
      <c r="AE621" s="99">
        <f t="shared" si="31"/>
        <v>-606</v>
      </c>
      <c r="AF621" s="15">
        <f t="shared" si="29"/>
        <v>607</v>
      </c>
      <c r="AG621" s="15">
        <f t="shared" si="30"/>
        <v>-1</v>
      </c>
    </row>
    <row r="622" spans="31:33" x14ac:dyDescent="0.2">
      <c r="AE622" s="99">
        <f t="shared" si="31"/>
        <v>-607</v>
      </c>
      <c r="AF622" s="15">
        <f t="shared" si="29"/>
        <v>608</v>
      </c>
      <c r="AG622" s="15">
        <f t="shared" si="30"/>
        <v>-1</v>
      </c>
    </row>
    <row r="623" spans="31:33" x14ac:dyDescent="0.2">
      <c r="AE623" s="99">
        <f t="shared" si="31"/>
        <v>-608</v>
      </c>
      <c r="AF623" s="15">
        <f t="shared" si="29"/>
        <v>609</v>
      </c>
      <c r="AG623" s="15">
        <f t="shared" si="30"/>
        <v>-1</v>
      </c>
    </row>
    <row r="624" spans="31:33" x14ac:dyDescent="0.2">
      <c r="AE624" s="99">
        <f t="shared" si="31"/>
        <v>-609</v>
      </c>
      <c r="AF624" s="15">
        <f t="shared" si="29"/>
        <v>610</v>
      </c>
      <c r="AG624" s="15">
        <f t="shared" si="30"/>
        <v>-1</v>
      </c>
    </row>
    <row r="625" spans="31:33" x14ac:dyDescent="0.2">
      <c r="AE625" s="99">
        <f t="shared" si="31"/>
        <v>-610</v>
      </c>
      <c r="AF625" s="15">
        <f t="shared" si="29"/>
        <v>611</v>
      </c>
      <c r="AG625" s="15">
        <f t="shared" si="30"/>
        <v>-1</v>
      </c>
    </row>
    <row r="626" spans="31:33" x14ac:dyDescent="0.2">
      <c r="AE626" s="99">
        <f t="shared" si="31"/>
        <v>-611</v>
      </c>
      <c r="AF626" s="15">
        <f t="shared" si="29"/>
        <v>612</v>
      </c>
      <c r="AG626" s="15">
        <f t="shared" si="30"/>
        <v>-1</v>
      </c>
    </row>
    <row r="627" spans="31:33" x14ac:dyDescent="0.2">
      <c r="AE627" s="99">
        <f t="shared" si="31"/>
        <v>-612</v>
      </c>
      <c r="AF627" s="15">
        <f t="shared" si="29"/>
        <v>613</v>
      </c>
      <c r="AG627" s="15">
        <f t="shared" si="30"/>
        <v>-1</v>
      </c>
    </row>
    <row r="628" spans="31:33" x14ac:dyDescent="0.2">
      <c r="AE628" s="99">
        <f t="shared" si="31"/>
        <v>-613</v>
      </c>
      <c r="AF628" s="15">
        <f t="shared" si="29"/>
        <v>614</v>
      </c>
      <c r="AG628" s="15">
        <f t="shared" si="30"/>
        <v>-1</v>
      </c>
    </row>
    <row r="629" spans="31:33" x14ac:dyDescent="0.2">
      <c r="AE629" s="99">
        <f t="shared" si="31"/>
        <v>-614</v>
      </c>
      <c r="AF629" s="15">
        <f t="shared" si="29"/>
        <v>615</v>
      </c>
      <c r="AG629" s="15">
        <f t="shared" si="30"/>
        <v>-1</v>
      </c>
    </row>
    <row r="630" spans="31:33" x14ac:dyDescent="0.2">
      <c r="AE630" s="99">
        <f t="shared" si="31"/>
        <v>-615</v>
      </c>
      <c r="AF630" s="15">
        <f t="shared" si="29"/>
        <v>616</v>
      </c>
      <c r="AG630" s="15">
        <f t="shared" si="30"/>
        <v>-1</v>
      </c>
    </row>
    <row r="631" spans="31:33" x14ac:dyDescent="0.2">
      <c r="AE631" s="99">
        <f t="shared" si="31"/>
        <v>-616</v>
      </c>
      <c r="AF631" s="15">
        <f t="shared" si="29"/>
        <v>617</v>
      </c>
      <c r="AG631" s="15">
        <f t="shared" si="30"/>
        <v>-1</v>
      </c>
    </row>
    <row r="632" spans="31:33" x14ac:dyDescent="0.2">
      <c r="AE632" s="99">
        <f t="shared" si="31"/>
        <v>-617</v>
      </c>
      <c r="AF632" s="15">
        <f t="shared" si="29"/>
        <v>618</v>
      </c>
      <c r="AG632" s="15">
        <f t="shared" si="30"/>
        <v>-1</v>
      </c>
    </row>
    <row r="633" spans="31:33" x14ac:dyDescent="0.2">
      <c r="AE633" s="99">
        <f t="shared" si="31"/>
        <v>-618</v>
      </c>
      <c r="AF633" s="15">
        <f t="shared" si="29"/>
        <v>619</v>
      </c>
      <c r="AG633" s="15">
        <f t="shared" si="30"/>
        <v>-1</v>
      </c>
    </row>
    <row r="634" spans="31:33" x14ac:dyDescent="0.2">
      <c r="AE634" s="99">
        <f t="shared" si="31"/>
        <v>-619</v>
      </c>
      <c r="AF634" s="15">
        <f t="shared" si="29"/>
        <v>620</v>
      </c>
      <c r="AG634" s="15">
        <f t="shared" si="30"/>
        <v>-1</v>
      </c>
    </row>
    <row r="635" spans="31:33" x14ac:dyDescent="0.2">
      <c r="AE635" s="99">
        <f t="shared" si="31"/>
        <v>-620</v>
      </c>
      <c r="AF635" s="15">
        <f t="shared" si="29"/>
        <v>621</v>
      </c>
      <c r="AG635" s="15">
        <f t="shared" si="30"/>
        <v>-1</v>
      </c>
    </row>
    <row r="636" spans="31:33" x14ac:dyDescent="0.2">
      <c r="AE636" s="99">
        <f t="shared" si="31"/>
        <v>-621</v>
      </c>
      <c r="AF636" s="15">
        <f t="shared" si="29"/>
        <v>622</v>
      </c>
      <c r="AG636" s="15">
        <f t="shared" si="30"/>
        <v>-1</v>
      </c>
    </row>
    <row r="637" spans="31:33" x14ac:dyDescent="0.2">
      <c r="AE637" s="99">
        <f t="shared" si="31"/>
        <v>-622</v>
      </c>
      <c r="AF637" s="15">
        <f t="shared" si="29"/>
        <v>623</v>
      </c>
      <c r="AG637" s="15">
        <f t="shared" si="30"/>
        <v>-1</v>
      </c>
    </row>
    <row r="638" spans="31:33" x14ac:dyDescent="0.2">
      <c r="AE638" s="99">
        <f t="shared" si="31"/>
        <v>-623</v>
      </c>
      <c r="AF638" s="15">
        <f t="shared" si="29"/>
        <v>624</v>
      </c>
      <c r="AG638" s="15">
        <f t="shared" si="30"/>
        <v>-1</v>
      </c>
    </row>
    <row r="639" spans="31:33" x14ac:dyDescent="0.2">
      <c r="AE639" s="99">
        <f t="shared" si="31"/>
        <v>-624</v>
      </c>
      <c r="AF639" s="15">
        <f t="shared" si="29"/>
        <v>625</v>
      </c>
      <c r="AG639" s="15">
        <f t="shared" si="30"/>
        <v>-1</v>
      </c>
    </row>
    <row r="640" spans="31:33" x14ac:dyDescent="0.2">
      <c r="AE640" s="99">
        <f t="shared" si="31"/>
        <v>-625</v>
      </c>
      <c r="AF640" s="15">
        <f t="shared" si="29"/>
        <v>626</v>
      </c>
      <c r="AG640" s="15">
        <f t="shared" si="30"/>
        <v>-1</v>
      </c>
    </row>
    <row r="641" spans="31:33" x14ac:dyDescent="0.2">
      <c r="AE641" s="99">
        <f t="shared" si="31"/>
        <v>-626</v>
      </c>
      <c r="AF641" s="15">
        <f t="shared" si="29"/>
        <v>627</v>
      </c>
      <c r="AG641" s="15">
        <f t="shared" si="30"/>
        <v>-1</v>
      </c>
    </row>
    <row r="642" spans="31:33" x14ac:dyDescent="0.2">
      <c r="AE642" s="99">
        <f t="shared" si="31"/>
        <v>-627</v>
      </c>
      <c r="AF642" s="15">
        <f t="shared" si="29"/>
        <v>628</v>
      </c>
      <c r="AG642" s="15">
        <f t="shared" si="30"/>
        <v>-1</v>
      </c>
    </row>
    <row r="643" spans="31:33" x14ac:dyDescent="0.2">
      <c r="AE643" s="99">
        <f t="shared" si="31"/>
        <v>-628</v>
      </c>
      <c r="AF643" s="15">
        <f t="shared" si="29"/>
        <v>629</v>
      </c>
      <c r="AG643" s="15">
        <f t="shared" si="30"/>
        <v>-1</v>
      </c>
    </row>
    <row r="644" spans="31:33" x14ac:dyDescent="0.2">
      <c r="AE644" s="99">
        <f t="shared" si="31"/>
        <v>-629</v>
      </c>
      <c r="AF644" s="15">
        <f t="shared" ref="AF644:AF707" si="32">IF(AF643&gt;=1,AF643+1,IF(AE644=0,1,-1))</f>
        <v>630</v>
      </c>
      <c r="AG644" s="15">
        <f t="shared" ref="AG644:AG707" si="33">IF(AND(AG643&gt;=1,AG643&lt;$AB$3),AG643+1,IF(AE644=0,1,-1))</f>
        <v>-1</v>
      </c>
    </row>
    <row r="645" spans="31:33" x14ac:dyDescent="0.2">
      <c r="AE645" s="99">
        <f t="shared" ref="AE645:AE708" si="34">AE644-1</f>
        <v>-630</v>
      </c>
      <c r="AF645" s="15">
        <f t="shared" si="32"/>
        <v>631</v>
      </c>
      <c r="AG645" s="15">
        <f t="shared" si="33"/>
        <v>-1</v>
      </c>
    </row>
    <row r="646" spans="31:33" x14ac:dyDescent="0.2">
      <c r="AE646" s="99">
        <f t="shared" si="34"/>
        <v>-631</v>
      </c>
      <c r="AF646" s="15">
        <f t="shared" si="32"/>
        <v>632</v>
      </c>
      <c r="AG646" s="15">
        <f t="shared" si="33"/>
        <v>-1</v>
      </c>
    </row>
    <row r="647" spans="31:33" x14ac:dyDescent="0.2">
      <c r="AE647" s="99">
        <f t="shared" si="34"/>
        <v>-632</v>
      </c>
      <c r="AF647" s="15">
        <f t="shared" si="32"/>
        <v>633</v>
      </c>
      <c r="AG647" s="15">
        <f t="shared" si="33"/>
        <v>-1</v>
      </c>
    </row>
    <row r="648" spans="31:33" x14ac:dyDescent="0.2">
      <c r="AE648" s="99">
        <f t="shared" si="34"/>
        <v>-633</v>
      </c>
      <c r="AF648" s="15">
        <f t="shared" si="32"/>
        <v>634</v>
      </c>
      <c r="AG648" s="15">
        <f t="shared" si="33"/>
        <v>-1</v>
      </c>
    </row>
    <row r="649" spans="31:33" x14ac:dyDescent="0.2">
      <c r="AE649" s="99">
        <f t="shared" si="34"/>
        <v>-634</v>
      </c>
      <c r="AF649" s="15">
        <f t="shared" si="32"/>
        <v>635</v>
      </c>
      <c r="AG649" s="15">
        <f t="shared" si="33"/>
        <v>-1</v>
      </c>
    </row>
    <row r="650" spans="31:33" x14ac:dyDescent="0.2">
      <c r="AE650" s="99">
        <f t="shared" si="34"/>
        <v>-635</v>
      </c>
      <c r="AF650" s="15">
        <f t="shared" si="32"/>
        <v>636</v>
      </c>
      <c r="AG650" s="15">
        <f t="shared" si="33"/>
        <v>-1</v>
      </c>
    </row>
    <row r="651" spans="31:33" x14ac:dyDescent="0.2">
      <c r="AE651" s="99">
        <f t="shared" si="34"/>
        <v>-636</v>
      </c>
      <c r="AF651" s="15">
        <f t="shared" si="32"/>
        <v>637</v>
      </c>
      <c r="AG651" s="15">
        <f t="shared" si="33"/>
        <v>-1</v>
      </c>
    </row>
    <row r="652" spans="31:33" x14ac:dyDescent="0.2">
      <c r="AE652" s="99">
        <f t="shared" si="34"/>
        <v>-637</v>
      </c>
      <c r="AF652" s="15">
        <f t="shared" si="32"/>
        <v>638</v>
      </c>
      <c r="AG652" s="15">
        <f t="shared" si="33"/>
        <v>-1</v>
      </c>
    </row>
    <row r="653" spans="31:33" x14ac:dyDescent="0.2">
      <c r="AE653" s="99">
        <f t="shared" si="34"/>
        <v>-638</v>
      </c>
      <c r="AF653" s="15">
        <f t="shared" si="32"/>
        <v>639</v>
      </c>
      <c r="AG653" s="15">
        <f t="shared" si="33"/>
        <v>-1</v>
      </c>
    </row>
    <row r="654" spans="31:33" x14ac:dyDescent="0.2">
      <c r="AE654" s="99">
        <f t="shared" si="34"/>
        <v>-639</v>
      </c>
      <c r="AF654" s="15">
        <f t="shared" si="32"/>
        <v>640</v>
      </c>
      <c r="AG654" s="15">
        <f t="shared" si="33"/>
        <v>-1</v>
      </c>
    </row>
    <row r="655" spans="31:33" x14ac:dyDescent="0.2">
      <c r="AE655" s="99">
        <f t="shared" si="34"/>
        <v>-640</v>
      </c>
      <c r="AF655" s="15">
        <f t="shared" si="32"/>
        <v>641</v>
      </c>
      <c r="AG655" s="15">
        <f t="shared" si="33"/>
        <v>-1</v>
      </c>
    </row>
    <row r="656" spans="31:33" x14ac:dyDescent="0.2">
      <c r="AE656" s="99">
        <f t="shared" si="34"/>
        <v>-641</v>
      </c>
      <c r="AF656" s="15">
        <f t="shared" si="32"/>
        <v>642</v>
      </c>
      <c r="AG656" s="15">
        <f t="shared" si="33"/>
        <v>-1</v>
      </c>
    </row>
    <row r="657" spans="31:33" x14ac:dyDescent="0.2">
      <c r="AE657" s="99">
        <f t="shared" si="34"/>
        <v>-642</v>
      </c>
      <c r="AF657" s="15">
        <f t="shared" si="32"/>
        <v>643</v>
      </c>
      <c r="AG657" s="15">
        <f t="shared" si="33"/>
        <v>-1</v>
      </c>
    </row>
    <row r="658" spans="31:33" x14ac:dyDescent="0.2">
      <c r="AE658" s="99">
        <f t="shared" si="34"/>
        <v>-643</v>
      </c>
      <c r="AF658" s="15">
        <f t="shared" si="32"/>
        <v>644</v>
      </c>
      <c r="AG658" s="15">
        <f t="shared" si="33"/>
        <v>-1</v>
      </c>
    </row>
    <row r="659" spans="31:33" x14ac:dyDescent="0.2">
      <c r="AE659" s="99">
        <f t="shared" si="34"/>
        <v>-644</v>
      </c>
      <c r="AF659" s="15">
        <f t="shared" si="32"/>
        <v>645</v>
      </c>
      <c r="AG659" s="15">
        <f t="shared" si="33"/>
        <v>-1</v>
      </c>
    </row>
    <row r="660" spans="31:33" x14ac:dyDescent="0.2">
      <c r="AE660" s="99">
        <f t="shared" si="34"/>
        <v>-645</v>
      </c>
      <c r="AF660" s="15">
        <f t="shared" si="32"/>
        <v>646</v>
      </c>
      <c r="AG660" s="15">
        <f t="shared" si="33"/>
        <v>-1</v>
      </c>
    </row>
    <row r="661" spans="31:33" x14ac:dyDescent="0.2">
      <c r="AE661" s="99">
        <f t="shared" si="34"/>
        <v>-646</v>
      </c>
      <c r="AF661" s="15">
        <f t="shared" si="32"/>
        <v>647</v>
      </c>
      <c r="AG661" s="15">
        <f t="shared" si="33"/>
        <v>-1</v>
      </c>
    </row>
    <row r="662" spans="31:33" x14ac:dyDescent="0.2">
      <c r="AE662" s="99">
        <f t="shared" si="34"/>
        <v>-647</v>
      </c>
      <c r="AF662" s="15">
        <f t="shared" si="32"/>
        <v>648</v>
      </c>
      <c r="AG662" s="15">
        <f t="shared" si="33"/>
        <v>-1</v>
      </c>
    </row>
    <row r="663" spans="31:33" x14ac:dyDescent="0.2">
      <c r="AE663" s="99">
        <f t="shared" si="34"/>
        <v>-648</v>
      </c>
      <c r="AF663" s="15">
        <f t="shared" si="32"/>
        <v>649</v>
      </c>
      <c r="AG663" s="15">
        <f t="shared" si="33"/>
        <v>-1</v>
      </c>
    </row>
    <row r="664" spans="31:33" x14ac:dyDescent="0.2">
      <c r="AE664" s="99">
        <f t="shared" si="34"/>
        <v>-649</v>
      </c>
      <c r="AF664" s="15">
        <f t="shared" si="32"/>
        <v>650</v>
      </c>
      <c r="AG664" s="15">
        <f t="shared" si="33"/>
        <v>-1</v>
      </c>
    </row>
    <row r="665" spans="31:33" x14ac:dyDescent="0.2">
      <c r="AE665" s="99">
        <f t="shared" si="34"/>
        <v>-650</v>
      </c>
      <c r="AF665" s="15">
        <f t="shared" si="32"/>
        <v>651</v>
      </c>
      <c r="AG665" s="15">
        <f t="shared" si="33"/>
        <v>-1</v>
      </c>
    </row>
    <row r="666" spans="31:33" x14ac:dyDescent="0.2">
      <c r="AE666" s="99">
        <f t="shared" si="34"/>
        <v>-651</v>
      </c>
      <c r="AF666" s="15">
        <f t="shared" si="32"/>
        <v>652</v>
      </c>
      <c r="AG666" s="15">
        <f t="shared" si="33"/>
        <v>-1</v>
      </c>
    </row>
    <row r="667" spans="31:33" x14ac:dyDescent="0.2">
      <c r="AE667" s="99">
        <f t="shared" si="34"/>
        <v>-652</v>
      </c>
      <c r="AF667" s="15">
        <f t="shared" si="32"/>
        <v>653</v>
      </c>
      <c r="AG667" s="15">
        <f t="shared" si="33"/>
        <v>-1</v>
      </c>
    </row>
    <row r="668" spans="31:33" x14ac:dyDescent="0.2">
      <c r="AE668" s="99">
        <f t="shared" si="34"/>
        <v>-653</v>
      </c>
      <c r="AF668" s="15">
        <f t="shared" si="32"/>
        <v>654</v>
      </c>
      <c r="AG668" s="15">
        <f t="shared" si="33"/>
        <v>-1</v>
      </c>
    </row>
    <row r="669" spans="31:33" x14ac:dyDescent="0.2">
      <c r="AE669" s="99">
        <f t="shared" si="34"/>
        <v>-654</v>
      </c>
      <c r="AF669" s="15">
        <f t="shared" si="32"/>
        <v>655</v>
      </c>
      <c r="AG669" s="15">
        <f t="shared" si="33"/>
        <v>-1</v>
      </c>
    </row>
    <row r="670" spans="31:33" x14ac:dyDescent="0.2">
      <c r="AE670" s="99">
        <f t="shared" si="34"/>
        <v>-655</v>
      </c>
      <c r="AF670" s="15">
        <f t="shared" si="32"/>
        <v>656</v>
      </c>
      <c r="AG670" s="15">
        <f t="shared" si="33"/>
        <v>-1</v>
      </c>
    </row>
    <row r="671" spans="31:33" x14ac:dyDescent="0.2">
      <c r="AE671" s="99">
        <f t="shared" si="34"/>
        <v>-656</v>
      </c>
      <c r="AF671" s="15">
        <f t="shared" si="32"/>
        <v>657</v>
      </c>
      <c r="AG671" s="15">
        <f t="shared" si="33"/>
        <v>-1</v>
      </c>
    </row>
    <row r="672" spans="31:33" x14ac:dyDescent="0.2">
      <c r="AE672" s="99">
        <f t="shared" si="34"/>
        <v>-657</v>
      </c>
      <c r="AF672" s="15">
        <f t="shared" si="32"/>
        <v>658</v>
      </c>
      <c r="AG672" s="15">
        <f t="shared" si="33"/>
        <v>-1</v>
      </c>
    </row>
    <row r="673" spans="31:33" x14ac:dyDescent="0.2">
      <c r="AE673" s="99">
        <f t="shared" si="34"/>
        <v>-658</v>
      </c>
      <c r="AF673" s="15">
        <f t="shared" si="32"/>
        <v>659</v>
      </c>
      <c r="AG673" s="15">
        <f t="shared" si="33"/>
        <v>-1</v>
      </c>
    </row>
    <row r="674" spans="31:33" x14ac:dyDescent="0.2">
      <c r="AE674" s="99">
        <f t="shared" si="34"/>
        <v>-659</v>
      </c>
      <c r="AF674" s="15">
        <f t="shared" si="32"/>
        <v>660</v>
      </c>
      <c r="AG674" s="15">
        <f t="shared" si="33"/>
        <v>-1</v>
      </c>
    </row>
    <row r="675" spans="31:33" x14ac:dyDescent="0.2">
      <c r="AE675" s="99">
        <f t="shared" si="34"/>
        <v>-660</v>
      </c>
      <c r="AF675" s="15">
        <f t="shared" si="32"/>
        <v>661</v>
      </c>
      <c r="AG675" s="15">
        <f t="shared" si="33"/>
        <v>-1</v>
      </c>
    </row>
    <row r="676" spans="31:33" x14ac:dyDescent="0.2">
      <c r="AE676" s="99">
        <f t="shared" si="34"/>
        <v>-661</v>
      </c>
      <c r="AF676" s="15">
        <f t="shared" si="32"/>
        <v>662</v>
      </c>
      <c r="AG676" s="15">
        <f t="shared" si="33"/>
        <v>-1</v>
      </c>
    </row>
    <row r="677" spans="31:33" x14ac:dyDescent="0.2">
      <c r="AE677" s="99">
        <f t="shared" si="34"/>
        <v>-662</v>
      </c>
      <c r="AF677" s="15">
        <f t="shared" si="32"/>
        <v>663</v>
      </c>
      <c r="AG677" s="15">
        <f t="shared" si="33"/>
        <v>-1</v>
      </c>
    </row>
    <row r="678" spans="31:33" x14ac:dyDescent="0.2">
      <c r="AE678" s="99">
        <f t="shared" si="34"/>
        <v>-663</v>
      </c>
      <c r="AF678" s="15">
        <f t="shared" si="32"/>
        <v>664</v>
      </c>
      <c r="AG678" s="15">
        <f t="shared" si="33"/>
        <v>-1</v>
      </c>
    </row>
    <row r="679" spans="31:33" x14ac:dyDescent="0.2">
      <c r="AE679" s="99">
        <f t="shared" si="34"/>
        <v>-664</v>
      </c>
      <c r="AF679" s="15">
        <f t="shared" si="32"/>
        <v>665</v>
      </c>
      <c r="AG679" s="15">
        <f t="shared" si="33"/>
        <v>-1</v>
      </c>
    </row>
    <row r="680" spans="31:33" x14ac:dyDescent="0.2">
      <c r="AE680" s="99">
        <f t="shared" si="34"/>
        <v>-665</v>
      </c>
      <c r="AF680" s="15">
        <f t="shared" si="32"/>
        <v>666</v>
      </c>
      <c r="AG680" s="15">
        <f t="shared" si="33"/>
        <v>-1</v>
      </c>
    </row>
    <row r="681" spans="31:33" x14ac:dyDescent="0.2">
      <c r="AE681" s="99">
        <f t="shared" si="34"/>
        <v>-666</v>
      </c>
      <c r="AF681" s="15">
        <f t="shared" si="32"/>
        <v>667</v>
      </c>
      <c r="AG681" s="15">
        <f t="shared" si="33"/>
        <v>-1</v>
      </c>
    </row>
    <row r="682" spans="31:33" x14ac:dyDescent="0.2">
      <c r="AE682" s="99">
        <f t="shared" si="34"/>
        <v>-667</v>
      </c>
      <c r="AF682" s="15">
        <f t="shared" si="32"/>
        <v>668</v>
      </c>
      <c r="AG682" s="15">
        <f t="shared" si="33"/>
        <v>-1</v>
      </c>
    </row>
    <row r="683" spans="31:33" x14ac:dyDescent="0.2">
      <c r="AE683" s="99">
        <f t="shared" si="34"/>
        <v>-668</v>
      </c>
      <c r="AF683" s="15">
        <f t="shared" si="32"/>
        <v>669</v>
      </c>
      <c r="AG683" s="15">
        <f t="shared" si="33"/>
        <v>-1</v>
      </c>
    </row>
    <row r="684" spans="31:33" x14ac:dyDescent="0.2">
      <c r="AE684" s="99">
        <f t="shared" si="34"/>
        <v>-669</v>
      </c>
      <c r="AF684" s="15">
        <f t="shared" si="32"/>
        <v>670</v>
      </c>
      <c r="AG684" s="15">
        <f t="shared" si="33"/>
        <v>-1</v>
      </c>
    </row>
    <row r="685" spans="31:33" x14ac:dyDescent="0.2">
      <c r="AE685" s="99">
        <f t="shared" si="34"/>
        <v>-670</v>
      </c>
      <c r="AF685" s="15">
        <f t="shared" si="32"/>
        <v>671</v>
      </c>
      <c r="AG685" s="15">
        <f t="shared" si="33"/>
        <v>-1</v>
      </c>
    </row>
    <row r="686" spans="31:33" x14ac:dyDescent="0.2">
      <c r="AE686" s="99">
        <f t="shared" si="34"/>
        <v>-671</v>
      </c>
      <c r="AF686" s="15">
        <f t="shared" si="32"/>
        <v>672</v>
      </c>
      <c r="AG686" s="15">
        <f t="shared" si="33"/>
        <v>-1</v>
      </c>
    </row>
    <row r="687" spans="31:33" x14ac:dyDescent="0.2">
      <c r="AE687" s="99">
        <f t="shared" si="34"/>
        <v>-672</v>
      </c>
      <c r="AF687" s="15">
        <f t="shared" si="32"/>
        <v>673</v>
      </c>
      <c r="AG687" s="15">
        <f t="shared" si="33"/>
        <v>-1</v>
      </c>
    </row>
    <row r="688" spans="31:33" x14ac:dyDescent="0.2">
      <c r="AE688" s="99">
        <f t="shared" si="34"/>
        <v>-673</v>
      </c>
      <c r="AF688" s="15">
        <f t="shared" si="32"/>
        <v>674</v>
      </c>
      <c r="AG688" s="15">
        <f t="shared" si="33"/>
        <v>-1</v>
      </c>
    </row>
    <row r="689" spans="31:33" x14ac:dyDescent="0.2">
      <c r="AE689" s="99">
        <f t="shared" si="34"/>
        <v>-674</v>
      </c>
      <c r="AF689" s="15">
        <f t="shared" si="32"/>
        <v>675</v>
      </c>
      <c r="AG689" s="15">
        <f t="shared" si="33"/>
        <v>-1</v>
      </c>
    </row>
    <row r="690" spans="31:33" x14ac:dyDescent="0.2">
      <c r="AE690" s="99">
        <f t="shared" si="34"/>
        <v>-675</v>
      </c>
      <c r="AF690" s="15">
        <f t="shared" si="32"/>
        <v>676</v>
      </c>
      <c r="AG690" s="15">
        <f t="shared" si="33"/>
        <v>-1</v>
      </c>
    </row>
    <row r="691" spans="31:33" x14ac:dyDescent="0.2">
      <c r="AE691" s="99">
        <f t="shared" si="34"/>
        <v>-676</v>
      </c>
      <c r="AF691" s="15">
        <f t="shared" si="32"/>
        <v>677</v>
      </c>
      <c r="AG691" s="15">
        <f t="shared" si="33"/>
        <v>-1</v>
      </c>
    </row>
    <row r="692" spans="31:33" x14ac:dyDescent="0.2">
      <c r="AE692" s="99">
        <f t="shared" si="34"/>
        <v>-677</v>
      </c>
      <c r="AF692" s="15">
        <f t="shared" si="32"/>
        <v>678</v>
      </c>
      <c r="AG692" s="15">
        <f t="shared" si="33"/>
        <v>-1</v>
      </c>
    </row>
    <row r="693" spans="31:33" x14ac:dyDescent="0.2">
      <c r="AE693" s="99">
        <f t="shared" si="34"/>
        <v>-678</v>
      </c>
      <c r="AF693" s="15">
        <f t="shared" si="32"/>
        <v>679</v>
      </c>
      <c r="AG693" s="15">
        <f t="shared" si="33"/>
        <v>-1</v>
      </c>
    </row>
    <row r="694" spans="31:33" x14ac:dyDescent="0.2">
      <c r="AE694" s="99">
        <f t="shared" si="34"/>
        <v>-679</v>
      </c>
      <c r="AF694" s="15">
        <f t="shared" si="32"/>
        <v>680</v>
      </c>
      <c r="AG694" s="15">
        <f t="shared" si="33"/>
        <v>-1</v>
      </c>
    </row>
    <row r="695" spans="31:33" x14ac:dyDescent="0.2">
      <c r="AE695" s="99">
        <f t="shared" si="34"/>
        <v>-680</v>
      </c>
      <c r="AF695" s="15">
        <f t="shared" si="32"/>
        <v>681</v>
      </c>
      <c r="AG695" s="15">
        <f t="shared" si="33"/>
        <v>-1</v>
      </c>
    </row>
    <row r="696" spans="31:33" x14ac:dyDescent="0.2">
      <c r="AE696" s="99">
        <f t="shared" si="34"/>
        <v>-681</v>
      </c>
      <c r="AF696" s="15">
        <f t="shared" si="32"/>
        <v>682</v>
      </c>
      <c r="AG696" s="15">
        <f t="shared" si="33"/>
        <v>-1</v>
      </c>
    </row>
    <row r="697" spans="31:33" x14ac:dyDescent="0.2">
      <c r="AE697" s="99">
        <f t="shared" si="34"/>
        <v>-682</v>
      </c>
      <c r="AF697" s="15">
        <f t="shared" si="32"/>
        <v>683</v>
      </c>
      <c r="AG697" s="15">
        <f t="shared" si="33"/>
        <v>-1</v>
      </c>
    </row>
    <row r="698" spans="31:33" x14ac:dyDescent="0.2">
      <c r="AE698" s="99">
        <f t="shared" si="34"/>
        <v>-683</v>
      </c>
      <c r="AF698" s="15">
        <f t="shared" si="32"/>
        <v>684</v>
      </c>
      <c r="AG698" s="15">
        <f t="shared" si="33"/>
        <v>-1</v>
      </c>
    </row>
    <row r="699" spans="31:33" x14ac:dyDescent="0.2">
      <c r="AE699" s="99">
        <f t="shared" si="34"/>
        <v>-684</v>
      </c>
      <c r="AF699" s="15">
        <f t="shared" si="32"/>
        <v>685</v>
      </c>
      <c r="AG699" s="15">
        <f t="shared" si="33"/>
        <v>-1</v>
      </c>
    </row>
    <row r="700" spans="31:33" x14ac:dyDescent="0.2">
      <c r="AE700" s="99">
        <f t="shared" si="34"/>
        <v>-685</v>
      </c>
      <c r="AF700" s="15">
        <f t="shared" si="32"/>
        <v>686</v>
      </c>
      <c r="AG700" s="15">
        <f t="shared" si="33"/>
        <v>-1</v>
      </c>
    </row>
    <row r="701" spans="31:33" x14ac:dyDescent="0.2">
      <c r="AE701" s="99">
        <f t="shared" si="34"/>
        <v>-686</v>
      </c>
      <c r="AF701" s="15">
        <f t="shared" si="32"/>
        <v>687</v>
      </c>
      <c r="AG701" s="15">
        <f t="shared" si="33"/>
        <v>-1</v>
      </c>
    </row>
    <row r="702" spans="31:33" x14ac:dyDescent="0.2">
      <c r="AE702" s="99">
        <f t="shared" si="34"/>
        <v>-687</v>
      </c>
      <c r="AF702" s="15">
        <f t="shared" si="32"/>
        <v>688</v>
      </c>
      <c r="AG702" s="15">
        <f t="shared" si="33"/>
        <v>-1</v>
      </c>
    </row>
    <row r="703" spans="31:33" x14ac:dyDescent="0.2">
      <c r="AE703" s="99">
        <f t="shared" si="34"/>
        <v>-688</v>
      </c>
      <c r="AF703" s="15">
        <f t="shared" si="32"/>
        <v>689</v>
      </c>
      <c r="AG703" s="15">
        <f t="shared" si="33"/>
        <v>-1</v>
      </c>
    </row>
    <row r="704" spans="31:33" x14ac:dyDescent="0.2">
      <c r="AE704" s="99">
        <f t="shared" si="34"/>
        <v>-689</v>
      </c>
      <c r="AF704" s="15">
        <f t="shared" si="32"/>
        <v>690</v>
      </c>
      <c r="AG704" s="15">
        <f t="shared" si="33"/>
        <v>-1</v>
      </c>
    </row>
    <row r="705" spans="31:33" x14ac:dyDescent="0.2">
      <c r="AE705" s="99">
        <f t="shared" si="34"/>
        <v>-690</v>
      </c>
      <c r="AF705" s="15">
        <f t="shared" si="32"/>
        <v>691</v>
      </c>
      <c r="AG705" s="15">
        <f t="shared" si="33"/>
        <v>-1</v>
      </c>
    </row>
    <row r="706" spans="31:33" x14ac:dyDescent="0.2">
      <c r="AE706" s="99">
        <f t="shared" si="34"/>
        <v>-691</v>
      </c>
      <c r="AF706" s="15">
        <f t="shared" si="32"/>
        <v>692</v>
      </c>
      <c r="AG706" s="15">
        <f t="shared" si="33"/>
        <v>-1</v>
      </c>
    </row>
    <row r="707" spans="31:33" x14ac:dyDescent="0.2">
      <c r="AE707" s="99">
        <f t="shared" si="34"/>
        <v>-692</v>
      </c>
      <c r="AF707" s="15">
        <f t="shared" si="32"/>
        <v>693</v>
      </c>
      <c r="AG707" s="15">
        <f t="shared" si="33"/>
        <v>-1</v>
      </c>
    </row>
    <row r="708" spans="31:33" x14ac:dyDescent="0.2">
      <c r="AE708" s="99">
        <f t="shared" si="34"/>
        <v>-693</v>
      </c>
      <c r="AF708" s="15">
        <f t="shared" ref="AF708:AF771" si="35">IF(AF707&gt;=1,AF707+1,IF(AE708=0,1,-1))</f>
        <v>694</v>
      </c>
      <c r="AG708" s="15">
        <f t="shared" ref="AG708:AG771" si="36">IF(AND(AG707&gt;=1,AG707&lt;$AB$3),AG707+1,IF(AE708=0,1,-1))</f>
        <v>-1</v>
      </c>
    </row>
    <row r="709" spans="31:33" x14ac:dyDescent="0.2">
      <c r="AE709" s="99">
        <f t="shared" ref="AE709:AE772" si="37">AE708-1</f>
        <v>-694</v>
      </c>
      <c r="AF709" s="15">
        <f t="shared" si="35"/>
        <v>695</v>
      </c>
      <c r="AG709" s="15">
        <f t="shared" si="36"/>
        <v>-1</v>
      </c>
    </row>
    <row r="710" spans="31:33" x14ac:dyDescent="0.2">
      <c r="AE710" s="99">
        <f t="shared" si="37"/>
        <v>-695</v>
      </c>
      <c r="AF710" s="15">
        <f t="shared" si="35"/>
        <v>696</v>
      </c>
      <c r="AG710" s="15">
        <f t="shared" si="36"/>
        <v>-1</v>
      </c>
    </row>
    <row r="711" spans="31:33" x14ac:dyDescent="0.2">
      <c r="AE711" s="99">
        <f t="shared" si="37"/>
        <v>-696</v>
      </c>
      <c r="AF711" s="15">
        <f t="shared" si="35"/>
        <v>697</v>
      </c>
      <c r="AG711" s="15">
        <f t="shared" si="36"/>
        <v>-1</v>
      </c>
    </row>
    <row r="712" spans="31:33" x14ac:dyDescent="0.2">
      <c r="AE712" s="99">
        <f t="shared" si="37"/>
        <v>-697</v>
      </c>
      <c r="AF712" s="15">
        <f t="shared" si="35"/>
        <v>698</v>
      </c>
      <c r="AG712" s="15">
        <f t="shared" si="36"/>
        <v>-1</v>
      </c>
    </row>
    <row r="713" spans="31:33" x14ac:dyDescent="0.2">
      <c r="AE713" s="99">
        <f t="shared" si="37"/>
        <v>-698</v>
      </c>
      <c r="AF713" s="15">
        <f t="shared" si="35"/>
        <v>699</v>
      </c>
      <c r="AG713" s="15">
        <f t="shared" si="36"/>
        <v>-1</v>
      </c>
    </row>
    <row r="714" spans="31:33" x14ac:dyDescent="0.2">
      <c r="AE714" s="99">
        <f t="shared" si="37"/>
        <v>-699</v>
      </c>
      <c r="AF714" s="15">
        <f t="shared" si="35"/>
        <v>700</v>
      </c>
      <c r="AG714" s="15">
        <f t="shared" si="36"/>
        <v>-1</v>
      </c>
    </row>
    <row r="715" spans="31:33" x14ac:dyDescent="0.2">
      <c r="AE715" s="99">
        <f t="shared" si="37"/>
        <v>-700</v>
      </c>
      <c r="AF715" s="15">
        <f t="shared" si="35"/>
        <v>701</v>
      </c>
      <c r="AG715" s="15">
        <f t="shared" si="36"/>
        <v>-1</v>
      </c>
    </row>
    <row r="716" spans="31:33" x14ac:dyDescent="0.2">
      <c r="AE716" s="99">
        <f t="shared" si="37"/>
        <v>-701</v>
      </c>
      <c r="AF716" s="15">
        <f t="shared" si="35"/>
        <v>702</v>
      </c>
      <c r="AG716" s="15">
        <f t="shared" si="36"/>
        <v>-1</v>
      </c>
    </row>
    <row r="717" spans="31:33" x14ac:dyDescent="0.2">
      <c r="AE717" s="99">
        <f t="shared" si="37"/>
        <v>-702</v>
      </c>
      <c r="AF717" s="15">
        <f t="shared" si="35"/>
        <v>703</v>
      </c>
      <c r="AG717" s="15">
        <f t="shared" si="36"/>
        <v>-1</v>
      </c>
    </row>
    <row r="718" spans="31:33" x14ac:dyDescent="0.2">
      <c r="AE718" s="99">
        <f t="shared" si="37"/>
        <v>-703</v>
      </c>
      <c r="AF718" s="15">
        <f t="shared" si="35"/>
        <v>704</v>
      </c>
      <c r="AG718" s="15">
        <f t="shared" si="36"/>
        <v>-1</v>
      </c>
    </row>
    <row r="719" spans="31:33" x14ac:dyDescent="0.2">
      <c r="AE719" s="99">
        <f t="shared" si="37"/>
        <v>-704</v>
      </c>
      <c r="AF719" s="15">
        <f t="shared" si="35"/>
        <v>705</v>
      </c>
      <c r="AG719" s="15">
        <f t="shared" si="36"/>
        <v>-1</v>
      </c>
    </row>
    <row r="720" spans="31:33" x14ac:dyDescent="0.2">
      <c r="AE720" s="99">
        <f t="shared" si="37"/>
        <v>-705</v>
      </c>
      <c r="AF720" s="15">
        <f t="shared" si="35"/>
        <v>706</v>
      </c>
      <c r="AG720" s="15">
        <f t="shared" si="36"/>
        <v>-1</v>
      </c>
    </row>
    <row r="721" spans="31:33" x14ac:dyDescent="0.2">
      <c r="AE721" s="99">
        <f t="shared" si="37"/>
        <v>-706</v>
      </c>
      <c r="AF721" s="15">
        <f t="shared" si="35"/>
        <v>707</v>
      </c>
      <c r="AG721" s="15">
        <f t="shared" si="36"/>
        <v>-1</v>
      </c>
    </row>
    <row r="722" spans="31:33" x14ac:dyDescent="0.2">
      <c r="AE722" s="99">
        <f t="shared" si="37"/>
        <v>-707</v>
      </c>
      <c r="AF722" s="15">
        <f t="shared" si="35"/>
        <v>708</v>
      </c>
      <c r="AG722" s="15">
        <f t="shared" si="36"/>
        <v>-1</v>
      </c>
    </row>
    <row r="723" spans="31:33" x14ac:dyDescent="0.2">
      <c r="AE723" s="99">
        <f t="shared" si="37"/>
        <v>-708</v>
      </c>
      <c r="AF723" s="15">
        <f t="shared" si="35"/>
        <v>709</v>
      </c>
      <c r="AG723" s="15">
        <f t="shared" si="36"/>
        <v>-1</v>
      </c>
    </row>
    <row r="724" spans="31:33" x14ac:dyDescent="0.2">
      <c r="AE724" s="99">
        <f t="shared" si="37"/>
        <v>-709</v>
      </c>
      <c r="AF724" s="15">
        <f t="shared" si="35"/>
        <v>710</v>
      </c>
      <c r="AG724" s="15">
        <f t="shared" si="36"/>
        <v>-1</v>
      </c>
    </row>
    <row r="725" spans="31:33" x14ac:dyDescent="0.2">
      <c r="AE725" s="99">
        <f t="shared" si="37"/>
        <v>-710</v>
      </c>
      <c r="AF725" s="15">
        <f t="shared" si="35"/>
        <v>711</v>
      </c>
      <c r="AG725" s="15">
        <f t="shared" si="36"/>
        <v>-1</v>
      </c>
    </row>
    <row r="726" spans="31:33" x14ac:dyDescent="0.2">
      <c r="AE726" s="99">
        <f t="shared" si="37"/>
        <v>-711</v>
      </c>
      <c r="AF726" s="15">
        <f t="shared" si="35"/>
        <v>712</v>
      </c>
      <c r="AG726" s="15">
        <f t="shared" si="36"/>
        <v>-1</v>
      </c>
    </row>
    <row r="727" spans="31:33" x14ac:dyDescent="0.2">
      <c r="AE727" s="99">
        <f t="shared" si="37"/>
        <v>-712</v>
      </c>
      <c r="AF727" s="15">
        <f t="shared" si="35"/>
        <v>713</v>
      </c>
      <c r="AG727" s="15">
        <f t="shared" si="36"/>
        <v>-1</v>
      </c>
    </row>
    <row r="728" spans="31:33" x14ac:dyDescent="0.2">
      <c r="AE728" s="99">
        <f t="shared" si="37"/>
        <v>-713</v>
      </c>
      <c r="AF728" s="15">
        <f t="shared" si="35"/>
        <v>714</v>
      </c>
      <c r="AG728" s="15">
        <f t="shared" si="36"/>
        <v>-1</v>
      </c>
    </row>
    <row r="729" spans="31:33" x14ac:dyDescent="0.2">
      <c r="AE729" s="99">
        <f t="shared" si="37"/>
        <v>-714</v>
      </c>
      <c r="AF729" s="15">
        <f t="shared" si="35"/>
        <v>715</v>
      </c>
      <c r="AG729" s="15">
        <f t="shared" si="36"/>
        <v>-1</v>
      </c>
    </row>
    <row r="730" spans="31:33" x14ac:dyDescent="0.2">
      <c r="AE730" s="99">
        <f t="shared" si="37"/>
        <v>-715</v>
      </c>
      <c r="AF730" s="15">
        <f t="shared" si="35"/>
        <v>716</v>
      </c>
      <c r="AG730" s="15">
        <f t="shared" si="36"/>
        <v>-1</v>
      </c>
    </row>
    <row r="731" spans="31:33" x14ac:dyDescent="0.2">
      <c r="AE731" s="99">
        <f t="shared" si="37"/>
        <v>-716</v>
      </c>
      <c r="AF731" s="15">
        <f t="shared" si="35"/>
        <v>717</v>
      </c>
      <c r="AG731" s="15">
        <f t="shared" si="36"/>
        <v>-1</v>
      </c>
    </row>
    <row r="732" spans="31:33" x14ac:dyDescent="0.2">
      <c r="AE732" s="99">
        <f t="shared" si="37"/>
        <v>-717</v>
      </c>
      <c r="AF732" s="15">
        <f t="shared" si="35"/>
        <v>718</v>
      </c>
      <c r="AG732" s="15">
        <f t="shared" si="36"/>
        <v>-1</v>
      </c>
    </row>
    <row r="733" spans="31:33" x14ac:dyDescent="0.2">
      <c r="AE733" s="99">
        <f t="shared" si="37"/>
        <v>-718</v>
      </c>
      <c r="AF733" s="15">
        <f t="shared" si="35"/>
        <v>719</v>
      </c>
      <c r="AG733" s="15">
        <f t="shared" si="36"/>
        <v>-1</v>
      </c>
    </row>
    <row r="734" spans="31:33" x14ac:dyDescent="0.2">
      <c r="AE734" s="99">
        <f t="shared" si="37"/>
        <v>-719</v>
      </c>
      <c r="AF734" s="15">
        <f t="shared" si="35"/>
        <v>720</v>
      </c>
      <c r="AG734" s="15">
        <f t="shared" si="36"/>
        <v>-1</v>
      </c>
    </row>
    <row r="735" spans="31:33" x14ac:dyDescent="0.2">
      <c r="AE735" s="99">
        <f t="shared" si="37"/>
        <v>-720</v>
      </c>
      <c r="AF735" s="15">
        <f t="shared" si="35"/>
        <v>721</v>
      </c>
      <c r="AG735" s="15">
        <f t="shared" si="36"/>
        <v>-1</v>
      </c>
    </row>
    <row r="736" spans="31:33" x14ac:dyDescent="0.2">
      <c r="AE736" s="99">
        <f t="shared" si="37"/>
        <v>-721</v>
      </c>
      <c r="AF736" s="15">
        <f t="shared" si="35"/>
        <v>722</v>
      </c>
      <c r="AG736" s="15">
        <f t="shared" si="36"/>
        <v>-1</v>
      </c>
    </row>
    <row r="737" spans="31:33" x14ac:dyDescent="0.2">
      <c r="AE737" s="99">
        <f t="shared" si="37"/>
        <v>-722</v>
      </c>
      <c r="AF737" s="15">
        <f t="shared" si="35"/>
        <v>723</v>
      </c>
      <c r="AG737" s="15">
        <f t="shared" si="36"/>
        <v>-1</v>
      </c>
    </row>
    <row r="738" spans="31:33" x14ac:dyDescent="0.2">
      <c r="AE738" s="99">
        <f t="shared" si="37"/>
        <v>-723</v>
      </c>
      <c r="AF738" s="15">
        <f t="shared" si="35"/>
        <v>724</v>
      </c>
      <c r="AG738" s="15">
        <f t="shared" si="36"/>
        <v>-1</v>
      </c>
    </row>
    <row r="739" spans="31:33" x14ac:dyDescent="0.2">
      <c r="AE739" s="99">
        <f t="shared" si="37"/>
        <v>-724</v>
      </c>
      <c r="AF739" s="15">
        <f t="shared" si="35"/>
        <v>725</v>
      </c>
      <c r="AG739" s="15">
        <f t="shared" si="36"/>
        <v>-1</v>
      </c>
    </row>
    <row r="740" spans="31:33" x14ac:dyDescent="0.2">
      <c r="AE740" s="99">
        <f t="shared" si="37"/>
        <v>-725</v>
      </c>
      <c r="AF740" s="15">
        <f t="shared" si="35"/>
        <v>726</v>
      </c>
      <c r="AG740" s="15">
        <f t="shared" si="36"/>
        <v>-1</v>
      </c>
    </row>
    <row r="741" spans="31:33" x14ac:dyDescent="0.2">
      <c r="AE741" s="99">
        <f t="shared" si="37"/>
        <v>-726</v>
      </c>
      <c r="AF741" s="15">
        <f t="shared" si="35"/>
        <v>727</v>
      </c>
      <c r="AG741" s="15">
        <f t="shared" si="36"/>
        <v>-1</v>
      </c>
    </row>
    <row r="742" spans="31:33" x14ac:dyDescent="0.2">
      <c r="AE742" s="99">
        <f t="shared" si="37"/>
        <v>-727</v>
      </c>
      <c r="AF742" s="15">
        <f t="shared" si="35"/>
        <v>728</v>
      </c>
      <c r="AG742" s="15">
        <f t="shared" si="36"/>
        <v>-1</v>
      </c>
    </row>
    <row r="743" spans="31:33" x14ac:dyDescent="0.2">
      <c r="AE743" s="99">
        <f t="shared" si="37"/>
        <v>-728</v>
      </c>
      <c r="AF743" s="15">
        <f t="shared" si="35"/>
        <v>729</v>
      </c>
      <c r="AG743" s="15">
        <f t="shared" si="36"/>
        <v>-1</v>
      </c>
    </row>
    <row r="744" spans="31:33" x14ac:dyDescent="0.2">
      <c r="AE744" s="99">
        <f t="shared" si="37"/>
        <v>-729</v>
      </c>
      <c r="AF744" s="15">
        <f t="shared" si="35"/>
        <v>730</v>
      </c>
      <c r="AG744" s="15">
        <f t="shared" si="36"/>
        <v>-1</v>
      </c>
    </row>
    <row r="745" spans="31:33" x14ac:dyDescent="0.2">
      <c r="AE745" s="99">
        <f t="shared" si="37"/>
        <v>-730</v>
      </c>
      <c r="AF745" s="15">
        <f t="shared" si="35"/>
        <v>731</v>
      </c>
      <c r="AG745" s="15">
        <f t="shared" si="36"/>
        <v>-1</v>
      </c>
    </row>
    <row r="746" spans="31:33" x14ac:dyDescent="0.2">
      <c r="AE746" s="99">
        <f t="shared" si="37"/>
        <v>-731</v>
      </c>
      <c r="AF746" s="15">
        <f t="shared" si="35"/>
        <v>732</v>
      </c>
      <c r="AG746" s="15">
        <f t="shared" si="36"/>
        <v>-1</v>
      </c>
    </row>
    <row r="747" spans="31:33" x14ac:dyDescent="0.2">
      <c r="AE747" s="99">
        <f t="shared" si="37"/>
        <v>-732</v>
      </c>
      <c r="AF747" s="15">
        <f t="shared" si="35"/>
        <v>733</v>
      </c>
      <c r="AG747" s="15">
        <f t="shared" si="36"/>
        <v>-1</v>
      </c>
    </row>
    <row r="748" spans="31:33" x14ac:dyDescent="0.2">
      <c r="AE748" s="99">
        <f t="shared" si="37"/>
        <v>-733</v>
      </c>
      <c r="AF748" s="15">
        <f t="shared" si="35"/>
        <v>734</v>
      </c>
      <c r="AG748" s="15">
        <f t="shared" si="36"/>
        <v>-1</v>
      </c>
    </row>
    <row r="749" spans="31:33" x14ac:dyDescent="0.2">
      <c r="AE749" s="99">
        <f t="shared" si="37"/>
        <v>-734</v>
      </c>
      <c r="AF749" s="15">
        <f t="shared" si="35"/>
        <v>735</v>
      </c>
      <c r="AG749" s="15">
        <f t="shared" si="36"/>
        <v>-1</v>
      </c>
    </row>
    <row r="750" spans="31:33" x14ac:dyDescent="0.2">
      <c r="AE750" s="99">
        <f t="shared" si="37"/>
        <v>-735</v>
      </c>
      <c r="AF750" s="15">
        <f t="shared" si="35"/>
        <v>736</v>
      </c>
      <c r="AG750" s="15">
        <f t="shared" si="36"/>
        <v>-1</v>
      </c>
    </row>
    <row r="751" spans="31:33" x14ac:dyDescent="0.2">
      <c r="AE751" s="99">
        <f t="shared" si="37"/>
        <v>-736</v>
      </c>
      <c r="AF751" s="15">
        <f t="shared" si="35"/>
        <v>737</v>
      </c>
      <c r="AG751" s="15">
        <f t="shared" si="36"/>
        <v>-1</v>
      </c>
    </row>
    <row r="752" spans="31:33" x14ac:dyDescent="0.2">
      <c r="AE752" s="99">
        <f t="shared" si="37"/>
        <v>-737</v>
      </c>
      <c r="AF752" s="15">
        <f t="shared" si="35"/>
        <v>738</v>
      </c>
      <c r="AG752" s="15">
        <f t="shared" si="36"/>
        <v>-1</v>
      </c>
    </row>
    <row r="753" spans="31:33" x14ac:dyDescent="0.2">
      <c r="AE753" s="99">
        <f t="shared" si="37"/>
        <v>-738</v>
      </c>
      <c r="AF753" s="15">
        <f t="shared" si="35"/>
        <v>739</v>
      </c>
      <c r="AG753" s="15">
        <f t="shared" si="36"/>
        <v>-1</v>
      </c>
    </row>
    <row r="754" spans="31:33" x14ac:dyDescent="0.2">
      <c r="AE754" s="99">
        <f t="shared" si="37"/>
        <v>-739</v>
      </c>
      <c r="AF754" s="15">
        <f t="shared" si="35"/>
        <v>740</v>
      </c>
      <c r="AG754" s="15">
        <f t="shared" si="36"/>
        <v>-1</v>
      </c>
    </row>
    <row r="755" spans="31:33" x14ac:dyDescent="0.2">
      <c r="AE755" s="99">
        <f t="shared" si="37"/>
        <v>-740</v>
      </c>
      <c r="AF755" s="15">
        <f t="shared" si="35"/>
        <v>741</v>
      </c>
      <c r="AG755" s="15">
        <f t="shared" si="36"/>
        <v>-1</v>
      </c>
    </row>
    <row r="756" spans="31:33" x14ac:dyDescent="0.2">
      <c r="AE756" s="99">
        <f t="shared" si="37"/>
        <v>-741</v>
      </c>
      <c r="AF756" s="15">
        <f t="shared" si="35"/>
        <v>742</v>
      </c>
      <c r="AG756" s="15">
        <f t="shared" si="36"/>
        <v>-1</v>
      </c>
    </row>
    <row r="757" spans="31:33" x14ac:dyDescent="0.2">
      <c r="AE757" s="99">
        <f t="shared" si="37"/>
        <v>-742</v>
      </c>
      <c r="AF757" s="15">
        <f t="shared" si="35"/>
        <v>743</v>
      </c>
      <c r="AG757" s="15">
        <f t="shared" si="36"/>
        <v>-1</v>
      </c>
    </row>
    <row r="758" spans="31:33" x14ac:dyDescent="0.2">
      <c r="AE758" s="99">
        <f t="shared" si="37"/>
        <v>-743</v>
      </c>
      <c r="AF758" s="15">
        <f t="shared" si="35"/>
        <v>744</v>
      </c>
      <c r="AG758" s="15">
        <f t="shared" si="36"/>
        <v>-1</v>
      </c>
    </row>
    <row r="759" spans="31:33" x14ac:dyDescent="0.2">
      <c r="AE759" s="99">
        <f t="shared" si="37"/>
        <v>-744</v>
      </c>
      <c r="AF759" s="15">
        <f t="shared" si="35"/>
        <v>745</v>
      </c>
      <c r="AG759" s="15">
        <f t="shared" si="36"/>
        <v>-1</v>
      </c>
    </row>
    <row r="760" spans="31:33" x14ac:dyDescent="0.2">
      <c r="AE760" s="99">
        <f t="shared" si="37"/>
        <v>-745</v>
      </c>
      <c r="AF760" s="15">
        <f t="shared" si="35"/>
        <v>746</v>
      </c>
      <c r="AG760" s="15">
        <f t="shared" si="36"/>
        <v>-1</v>
      </c>
    </row>
    <row r="761" spans="31:33" x14ac:dyDescent="0.2">
      <c r="AE761" s="99">
        <f t="shared" si="37"/>
        <v>-746</v>
      </c>
      <c r="AF761" s="15">
        <f t="shared" si="35"/>
        <v>747</v>
      </c>
      <c r="AG761" s="15">
        <f t="shared" si="36"/>
        <v>-1</v>
      </c>
    </row>
    <row r="762" spans="31:33" x14ac:dyDescent="0.2">
      <c r="AE762" s="99">
        <f t="shared" si="37"/>
        <v>-747</v>
      </c>
      <c r="AF762" s="15">
        <f t="shared" si="35"/>
        <v>748</v>
      </c>
      <c r="AG762" s="15">
        <f t="shared" si="36"/>
        <v>-1</v>
      </c>
    </row>
    <row r="763" spans="31:33" x14ac:dyDescent="0.2">
      <c r="AE763" s="99">
        <f t="shared" si="37"/>
        <v>-748</v>
      </c>
      <c r="AF763" s="15">
        <f t="shared" si="35"/>
        <v>749</v>
      </c>
      <c r="AG763" s="15">
        <f t="shared" si="36"/>
        <v>-1</v>
      </c>
    </row>
    <row r="764" spans="31:33" x14ac:dyDescent="0.2">
      <c r="AE764" s="99">
        <f t="shared" si="37"/>
        <v>-749</v>
      </c>
      <c r="AF764" s="15">
        <f t="shared" si="35"/>
        <v>750</v>
      </c>
      <c r="AG764" s="15">
        <f t="shared" si="36"/>
        <v>-1</v>
      </c>
    </row>
    <row r="765" spans="31:33" x14ac:dyDescent="0.2">
      <c r="AE765" s="99">
        <f t="shared" si="37"/>
        <v>-750</v>
      </c>
      <c r="AF765" s="15">
        <f t="shared" si="35"/>
        <v>751</v>
      </c>
      <c r="AG765" s="15">
        <f t="shared" si="36"/>
        <v>-1</v>
      </c>
    </row>
    <row r="766" spans="31:33" x14ac:dyDescent="0.2">
      <c r="AE766" s="99">
        <f t="shared" si="37"/>
        <v>-751</v>
      </c>
      <c r="AF766" s="15">
        <f t="shared" si="35"/>
        <v>752</v>
      </c>
      <c r="AG766" s="15">
        <f t="shared" si="36"/>
        <v>-1</v>
      </c>
    </row>
    <row r="767" spans="31:33" x14ac:dyDescent="0.2">
      <c r="AE767" s="99">
        <f t="shared" si="37"/>
        <v>-752</v>
      </c>
      <c r="AF767" s="15">
        <f t="shared" si="35"/>
        <v>753</v>
      </c>
      <c r="AG767" s="15">
        <f t="shared" si="36"/>
        <v>-1</v>
      </c>
    </row>
    <row r="768" spans="31:33" x14ac:dyDescent="0.2">
      <c r="AE768" s="99">
        <f t="shared" si="37"/>
        <v>-753</v>
      </c>
      <c r="AF768" s="15">
        <f t="shared" si="35"/>
        <v>754</v>
      </c>
      <c r="AG768" s="15">
        <f t="shared" si="36"/>
        <v>-1</v>
      </c>
    </row>
    <row r="769" spans="31:33" x14ac:dyDescent="0.2">
      <c r="AE769" s="99">
        <f t="shared" si="37"/>
        <v>-754</v>
      </c>
      <c r="AF769" s="15">
        <f t="shared" si="35"/>
        <v>755</v>
      </c>
      <c r="AG769" s="15">
        <f t="shared" si="36"/>
        <v>-1</v>
      </c>
    </row>
    <row r="770" spans="31:33" x14ac:dyDescent="0.2">
      <c r="AE770" s="99">
        <f t="shared" si="37"/>
        <v>-755</v>
      </c>
      <c r="AF770" s="15">
        <f t="shared" si="35"/>
        <v>756</v>
      </c>
      <c r="AG770" s="15">
        <f t="shared" si="36"/>
        <v>-1</v>
      </c>
    </row>
    <row r="771" spans="31:33" x14ac:dyDescent="0.2">
      <c r="AE771" s="99">
        <f t="shared" si="37"/>
        <v>-756</v>
      </c>
      <c r="AF771" s="15">
        <f t="shared" si="35"/>
        <v>757</v>
      </c>
      <c r="AG771" s="15">
        <f t="shared" si="36"/>
        <v>-1</v>
      </c>
    </row>
    <row r="772" spans="31:33" x14ac:dyDescent="0.2">
      <c r="AE772" s="99">
        <f t="shared" si="37"/>
        <v>-757</v>
      </c>
      <c r="AF772" s="15">
        <f t="shared" ref="AF772:AF835" si="38">IF(AF771&gt;=1,AF771+1,IF(AE772=0,1,-1))</f>
        <v>758</v>
      </c>
      <c r="AG772" s="15">
        <f t="shared" ref="AG772:AG835" si="39">IF(AND(AG771&gt;=1,AG771&lt;$AB$3),AG771+1,IF(AE772=0,1,-1))</f>
        <v>-1</v>
      </c>
    </row>
    <row r="773" spans="31:33" x14ac:dyDescent="0.2">
      <c r="AE773" s="99">
        <f t="shared" ref="AE773:AE836" si="40">AE772-1</f>
        <v>-758</v>
      </c>
      <c r="AF773" s="15">
        <f t="shared" si="38"/>
        <v>759</v>
      </c>
      <c r="AG773" s="15">
        <f t="shared" si="39"/>
        <v>-1</v>
      </c>
    </row>
    <row r="774" spans="31:33" x14ac:dyDescent="0.2">
      <c r="AE774" s="99">
        <f t="shared" si="40"/>
        <v>-759</v>
      </c>
      <c r="AF774" s="15">
        <f t="shared" si="38"/>
        <v>760</v>
      </c>
      <c r="AG774" s="15">
        <f t="shared" si="39"/>
        <v>-1</v>
      </c>
    </row>
    <row r="775" spans="31:33" x14ac:dyDescent="0.2">
      <c r="AE775" s="99">
        <f t="shared" si="40"/>
        <v>-760</v>
      </c>
      <c r="AF775" s="15">
        <f t="shared" si="38"/>
        <v>761</v>
      </c>
      <c r="AG775" s="15">
        <f t="shared" si="39"/>
        <v>-1</v>
      </c>
    </row>
    <row r="776" spans="31:33" x14ac:dyDescent="0.2">
      <c r="AE776" s="99">
        <f t="shared" si="40"/>
        <v>-761</v>
      </c>
      <c r="AF776" s="15">
        <f t="shared" si="38"/>
        <v>762</v>
      </c>
      <c r="AG776" s="15">
        <f t="shared" si="39"/>
        <v>-1</v>
      </c>
    </row>
    <row r="777" spans="31:33" x14ac:dyDescent="0.2">
      <c r="AE777" s="99">
        <f t="shared" si="40"/>
        <v>-762</v>
      </c>
      <c r="AF777" s="15">
        <f t="shared" si="38"/>
        <v>763</v>
      </c>
      <c r="AG777" s="15">
        <f t="shared" si="39"/>
        <v>-1</v>
      </c>
    </row>
    <row r="778" spans="31:33" x14ac:dyDescent="0.2">
      <c r="AE778" s="99">
        <f t="shared" si="40"/>
        <v>-763</v>
      </c>
      <c r="AF778" s="15">
        <f t="shared" si="38"/>
        <v>764</v>
      </c>
      <c r="AG778" s="15">
        <f t="shared" si="39"/>
        <v>-1</v>
      </c>
    </row>
    <row r="779" spans="31:33" x14ac:dyDescent="0.2">
      <c r="AE779" s="99">
        <f t="shared" si="40"/>
        <v>-764</v>
      </c>
      <c r="AF779" s="15">
        <f t="shared" si="38"/>
        <v>765</v>
      </c>
      <c r="AG779" s="15">
        <f t="shared" si="39"/>
        <v>-1</v>
      </c>
    </row>
    <row r="780" spans="31:33" x14ac:dyDescent="0.2">
      <c r="AE780" s="99">
        <f t="shared" si="40"/>
        <v>-765</v>
      </c>
      <c r="AF780" s="15">
        <f t="shared" si="38"/>
        <v>766</v>
      </c>
      <c r="AG780" s="15">
        <f t="shared" si="39"/>
        <v>-1</v>
      </c>
    </row>
    <row r="781" spans="31:33" x14ac:dyDescent="0.2">
      <c r="AE781" s="99">
        <f t="shared" si="40"/>
        <v>-766</v>
      </c>
      <c r="AF781" s="15">
        <f t="shared" si="38"/>
        <v>767</v>
      </c>
      <c r="AG781" s="15">
        <f t="shared" si="39"/>
        <v>-1</v>
      </c>
    </row>
    <row r="782" spans="31:33" x14ac:dyDescent="0.2">
      <c r="AE782" s="99">
        <f t="shared" si="40"/>
        <v>-767</v>
      </c>
      <c r="AF782" s="15">
        <f t="shared" si="38"/>
        <v>768</v>
      </c>
      <c r="AG782" s="15">
        <f t="shared" si="39"/>
        <v>-1</v>
      </c>
    </row>
    <row r="783" spans="31:33" x14ac:dyDescent="0.2">
      <c r="AE783" s="99">
        <f t="shared" si="40"/>
        <v>-768</v>
      </c>
      <c r="AF783" s="15">
        <f t="shared" si="38"/>
        <v>769</v>
      </c>
      <c r="AG783" s="15">
        <f t="shared" si="39"/>
        <v>-1</v>
      </c>
    </row>
    <row r="784" spans="31:33" x14ac:dyDescent="0.2">
      <c r="AE784" s="99">
        <f t="shared" si="40"/>
        <v>-769</v>
      </c>
      <c r="AF784" s="15">
        <f t="shared" si="38"/>
        <v>770</v>
      </c>
      <c r="AG784" s="15">
        <f t="shared" si="39"/>
        <v>-1</v>
      </c>
    </row>
    <row r="785" spans="31:33" x14ac:dyDescent="0.2">
      <c r="AE785" s="99">
        <f t="shared" si="40"/>
        <v>-770</v>
      </c>
      <c r="AF785" s="15">
        <f t="shared" si="38"/>
        <v>771</v>
      </c>
      <c r="AG785" s="15">
        <f t="shared" si="39"/>
        <v>-1</v>
      </c>
    </row>
    <row r="786" spans="31:33" x14ac:dyDescent="0.2">
      <c r="AE786" s="99">
        <f t="shared" si="40"/>
        <v>-771</v>
      </c>
      <c r="AF786" s="15">
        <f t="shared" si="38"/>
        <v>772</v>
      </c>
      <c r="AG786" s="15">
        <f t="shared" si="39"/>
        <v>-1</v>
      </c>
    </row>
    <row r="787" spans="31:33" x14ac:dyDescent="0.2">
      <c r="AE787" s="99">
        <f t="shared" si="40"/>
        <v>-772</v>
      </c>
      <c r="AF787" s="15">
        <f t="shared" si="38"/>
        <v>773</v>
      </c>
      <c r="AG787" s="15">
        <f t="shared" si="39"/>
        <v>-1</v>
      </c>
    </row>
    <row r="788" spans="31:33" x14ac:dyDescent="0.2">
      <c r="AE788" s="99">
        <f t="shared" si="40"/>
        <v>-773</v>
      </c>
      <c r="AF788" s="15">
        <f t="shared" si="38"/>
        <v>774</v>
      </c>
      <c r="AG788" s="15">
        <f t="shared" si="39"/>
        <v>-1</v>
      </c>
    </row>
    <row r="789" spans="31:33" x14ac:dyDescent="0.2">
      <c r="AE789" s="99">
        <f t="shared" si="40"/>
        <v>-774</v>
      </c>
      <c r="AF789" s="15">
        <f t="shared" si="38"/>
        <v>775</v>
      </c>
      <c r="AG789" s="15">
        <f t="shared" si="39"/>
        <v>-1</v>
      </c>
    </row>
    <row r="790" spans="31:33" x14ac:dyDescent="0.2">
      <c r="AE790" s="99">
        <f t="shared" si="40"/>
        <v>-775</v>
      </c>
      <c r="AF790" s="15">
        <f t="shared" si="38"/>
        <v>776</v>
      </c>
      <c r="AG790" s="15">
        <f t="shared" si="39"/>
        <v>-1</v>
      </c>
    </row>
    <row r="791" spans="31:33" x14ac:dyDescent="0.2">
      <c r="AE791" s="99">
        <f t="shared" si="40"/>
        <v>-776</v>
      </c>
      <c r="AF791" s="15">
        <f t="shared" si="38"/>
        <v>777</v>
      </c>
      <c r="AG791" s="15">
        <f t="shared" si="39"/>
        <v>-1</v>
      </c>
    </row>
    <row r="792" spans="31:33" x14ac:dyDescent="0.2">
      <c r="AE792" s="99">
        <f t="shared" si="40"/>
        <v>-777</v>
      </c>
      <c r="AF792" s="15">
        <f t="shared" si="38"/>
        <v>778</v>
      </c>
      <c r="AG792" s="15">
        <f t="shared" si="39"/>
        <v>-1</v>
      </c>
    </row>
    <row r="793" spans="31:33" x14ac:dyDescent="0.2">
      <c r="AE793" s="99">
        <f t="shared" si="40"/>
        <v>-778</v>
      </c>
      <c r="AF793" s="15">
        <f t="shared" si="38"/>
        <v>779</v>
      </c>
      <c r="AG793" s="15">
        <f t="shared" si="39"/>
        <v>-1</v>
      </c>
    </row>
    <row r="794" spans="31:33" x14ac:dyDescent="0.2">
      <c r="AE794" s="99">
        <f t="shared" si="40"/>
        <v>-779</v>
      </c>
      <c r="AF794" s="15">
        <f t="shared" si="38"/>
        <v>780</v>
      </c>
      <c r="AG794" s="15">
        <f t="shared" si="39"/>
        <v>-1</v>
      </c>
    </row>
    <row r="795" spans="31:33" x14ac:dyDescent="0.2">
      <c r="AE795" s="99">
        <f t="shared" si="40"/>
        <v>-780</v>
      </c>
      <c r="AF795" s="15">
        <f t="shared" si="38"/>
        <v>781</v>
      </c>
      <c r="AG795" s="15">
        <f t="shared" si="39"/>
        <v>-1</v>
      </c>
    </row>
    <row r="796" spans="31:33" x14ac:dyDescent="0.2">
      <c r="AE796" s="99">
        <f t="shared" si="40"/>
        <v>-781</v>
      </c>
      <c r="AF796" s="15">
        <f t="shared" si="38"/>
        <v>782</v>
      </c>
      <c r="AG796" s="15">
        <f t="shared" si="39"/>
        <v>-1</v>
      </c>
    </row>
    <row r="797" spans="31:33" x14ac:dyDescent="0.2">
      <c r="AE797" s="99">
        <f t="shared" si="40"/>
        <v>-782</v>
      </c>
      <c r="AF797" s="15">
        <f t="shared" si="38"/>
        <v>783</v>
      </c>
      <c r="AG797" s="15">
        <f t="shared" si="39"/>
        <v>-1</v>
      </c>
    </row>
    <row r="798" spans="31:33" x14ac:dyDescent="0.2">
      <c r="AE798" s="99">
        <f t="shared" si="40"/>
        <v>-783</v>
      </c>
      <c r="AF798" s="15">
        <f t="shared" si="38"/>
        <v>784</v>
      </c>
      <c r="AG798" s="15">
        <f t="shared" si="39"/>
        <v>-1</v>
      </c>
    </row>
    <row r="799" spans="31:33" x14ac:dyDescent="0.2">
      <c r="AE799" s="99">
        <f t="shared" si="40"/>
        <v>-784</v>
      </c>
      <c r="AF799" s="15">
        <f t="shared" si="38"/>
        <v>785</v>
      </c>
      <c r="AG799" s="15">
        <f t="shared" si="39"/>
        <v>-1</v>
      </c>
    </row>
    <row r="800" spans="31:33" x14ac:dyDescent="0.2">
      <c r="AE800" s="99">
        <f t="shared" si="40"/>
        <v>-785</v>
      </c>
      <c r="AF800" s="15">
        <f t="shared" si="38"/>
        <v>786</v>
      </c>
      <c r="AG800" s="15">
        <f t="shared" si="39"/>
        <v>-1</v>
      </c>
    </row>
    <row r="801" spans="31:33" x14ac:dyDescent="0.2">
      <c r="AE801" s="99">
        <f t="shared" si="40"/>
        <v>-786</v>
      </c>
      <c r="AF801" s="15">
        <f t="shared" si="38"/>
        <v>787</v>
      </c>
      <c r="AG801" s="15">
        <f t="shared" si="39"/>
        <v>-1</v>
      </c>
    </row>
    <row r="802" spans="31:33" x14ac:dyDescent="0.2">
      <c r="AE802" s="99">
        <f t="shared" si="40"/>
        <v>-787</v>
      </c>
      <c r="AF802" s="15">
        <f t="shared" si="38"/>
        <v>788</v>
      </c>
      <c r="AG802" s="15">
        <f t="shared" si="39"/>
        <v>-1</v>
      </c>
    </row>
    <row r="803" spans="31:33" x14ac:dyDescent="0.2">
      <c r="AE803" s="99">
        <f t="shared" si="40"/>
        <v>-788</v>
      </c>
      <c r="AF803" s="15">
        <f t="shared" si="38"/>
        <v>789</v>
      </c>
      <c r="AG803" s="15">
        <f t="shared" si="39"/>
        <v>-1</v>
      </c>
    </row>
    <row r="804" spans="31:33" x14ac:dyDescent="0.2">
      <c r="AE804" s="99">
        <f t="shared" si="40"/>
        <v>-789</v>
      </c>
      <c r="AF804" s="15">
        <f t="shared" si="38"/>
        <v>790</v>
      </c>
      <c r="AG804" s="15">
        <f t="shared" si="39"/>
        <v>-1</v>
      </c>
    </row>
    <row r="805" spans="31:33" x14ac:dyDescent="0.2">
      <c r="AE805" s="99">
        <f t="shared" si="40"/>
        <v>-790</v>
      </c>
      <c r="AF805" s="15">
        <f t="shared" si="38"/>
        <v>791</v>
      </c>
      <c r="AG805" s="15">
        <f t="shared" si="39"/>
        <v>-1</v>
      </c>
    </row>
    <row r="806" spans="31:33" x14ac:dyDescent="0.2">
      <c r="AE806" s="99">
        <f t="shared" si="40"/>
        <v>-791</v>
      </c>
      <c r="AF806" s="15">
        <f t="shared" si="38"/>
        <v>792</v>
      </c>
      <c r="AG806" s="15">
        <f t="shared" si="39"/>
        <v>-1</v>
      </c>
    </row>
    <row r="807" spans="31:33" x14ac:dyDescent="0.2">
      <c r="AE807" s="99">
        <f t="shared" si="40"/>
        <v>-792</v>
      </c>
      <c r="AF807" s="15">
        <f t="shared" si="38"/>
        <v>793</v>
      </c>
      <c r="AG807" s="15">
        <f t="shared" si="39"/>
        <v>-1</v>
      </c>
    </row>
    <row r="808" spans="31:33" x14ac:dyDescent="0.2">
      <c r="AE808" s="99">
        <f t="shared" si="40"/>
        <v>-793</v>
      </c>
      <c r="AF808" s="15">
        <f t="shared" si="38"/>
        <v>794</v>
      </c>
      <c r="AG808" s="15">
        <f t="shared" si="39"/>
        <v>-1</v>
      </c>
    </row>
    <row r="809" spans="31:33" x14ac:dyDescent="0.2">
      <c r="AE809" s="99">
        <f t="shared" si="40"/>
        <v>-794</v>
      </c>
      <c r="AF809" s="15">
        <f t="shared" si="38"/>
        <v>795</v>
      </c>
      <c r="AG809" s="15">
        <f t="shared" si="39"/>
        <v>-1</v>
      </c>
    </row>
    <row r="810" spans="31:33" x14ac:dyDescent="0.2">
      <c r="AE810" s="99">
        <f t="shared" si="40"/>
        <v>-795</v>
      </c>
      <c r="AF810" s="15">
        <f t="shared" si="38"/>
        <v>796</v>
      </c>
      <c r="AG810" s="15">
        <f t="shared" si="39"/>
        <v>-1</v>
      </c>
    </row>
    <row r="811" spans="31:33" x14ac:dyDescent="0.2">
      <c r="AE811" s="99">
        <f t="shared" si="40"/>
        <v>-796</v>
      </c>
      <c r="AF811" s="15">
        <f t="shared" si="38"/>
        <v>797</v>
      </c>
      <c r="AG811" s="15">
        <f t="shared" si="39"/>
        <v>-1</v>
      </c>
    </row>
    <row r="812" spans="31:33" x14ac:dyDescent="0.2">
      <c r="AE812" s="99">
        <f t="shared" si="40"/>
        <v>-797</v>
      </c>
      <c r="AF812" s="15">
        <f t="shared" si="38"/>
        <v>798</v>
      </c>
      <c r="AG812" s="15">
        <f t="shared" si="39"/>
        <v>-1</v>
      </c>
    </row>
    <row r="813" spans="31:33" x14ac:dyDescent="0.2">
      <c r="AE813" s="99">
        <f t="shared" si="40"/>
        <v>-798</v>
      </c>
      <c r="AF813" s="15">
        <f t="shared" si="38"/>
        <v>799</v>
      </c>
      <c r="AG813" s="15">
        <f t="shared" si="39"/>
        <v>-1</v>
      </c>
    </row>
    <row r="814" spans="31:33" x14ac:dyDescent="0.2">
      <c r="AE814" s="99">
        <f t="shared" si="40"/>
        <v>-799</v>
      </c>
      <c r="AF814" s="15">
        <f t="shared" si="38"/>
        <v>800</v>
      </c>
      <c r="AG814" s="15">
        <f t="shared" si="39"/>
        <v>-1</v>
      </c>
    </row>
    <row r="815" spans="31:33" x14ac:dyDescent="0.2">
      <c r="AE815" s="99">
        <f t="shared" si="40"/>
        <v>-800</v>
      </c>
      <c r="AF815" s="15">
        <f t="shared" si="38"/>
        <v>801</v>
      </c>
      <c r="AG815" s="15">
        <f t="shared" si="39"/>
        <v>-1</v>
      </c>
    </row>
    <row r="816" spans="31:33" x14ac:dyDescent="0.2">
      <c r="AE816" s="99">
        <f t="shared" si="40"/>
        <v>-801</v>
      </c>
      <c r="AF816" s="15">
        <f t="shared" si="38"/>
        <v>802</v>
      </c>
      <c r="AG816" s="15">
        <f t="shared" si="39"/>
        <v>-1</v>
      </c>
    </row>
    <row r="817" spans="31:33" x14ac:dyDescent="0.2">
      <c r="AE817" s="99">
        <f t="shared" si="40"/>
        <v>-802</v>
      </c>
      <c r="AF817" s="15">
        <f t="shared" si="38"/>
        <v>803</v>
      </c>
      <c r="AG817" s="15">
        <f t="shared" si="39"/>
        <v>-1</v>
      </c>
    </row>
    <row r="818" spans="31:33" x14ac:dyDescent="0.2">
      <c r="AE818" s="99">
        <f t="shared" si="40"/>
        <v>-803</v>
      </c>
      <c r="AF818" s="15">
        <f t="shared" si="38"/>
        <v>804</v>
      </c>
      <c r="AG818" s="15">
        <f t="shared" si="39"/>
        <v>-1</v>
      </c>
    </row>
    <row r="819" spans="31:33" x14ac:dyDescent="0.2">
      <c r="AE819" s="99">
        <f t="shared" si="40"/>
        <v>-804</v>
      </c>
      <c r="AF819" s="15">
        <f t="shared" si="38"/>
        <v>805</v>
      </c>
      <c r="AG819" s="15">
        <f t="shared" si="39"/>
        <v>-1</v>
      </c>
    </row>
    <row r="820" spans="31:33" x14ac:dyDescent="0.2">
      <c r="AE820" s="99">
        <f t="shared" si="40"/>
        <v>-805</v>
      </c>
      <c r="AF820" s="15">
        <f t="shared" si="38"/>
        <v>806</v>
      </c>
      <c r="AG820" s="15">
        <f t="shared" si="39"/>
        <v>-1</v>
      </c>
    </row>
    <row r="821" spans="31:33" x14ac:dyDescent="0.2">
      <c r="AE821" s="99">
        <f t="shared" si="40"/>
        <v>-806</v>
      </c>
      <c r="AF821" s="15">
        <f t="shared" si="38"/>
        <v>807</v>
      </c>
      <c r="AG821" s="15">
        <f t="shared" si="39"/>
        <v>-1</v>
      </c>
    </row>
    <row r="822" spans="31:33" x14ac:dyDescent="0.2">
      <c r="AE822" s="99">
        <f t="shared" si="40"/>
        <v>-807</v>
      </c>
      <c r="AF822" s="15">
        <f t="shared" si="38"/>
        <v>808</v>
      </c>
      <c r="AG822" s="15">
        <f t="shared" si="39"/>
        <v>-1</v>
      </c>
    </row>
    <row r="823" spans="31:33" x14ac:dyDescent="0.2">
      <c r="AE823" s="99">
        <f t="shared" si="40"/>
        <v>-808</v>
      </c>
      <c r="AF823" s="15">
        <f t="shared" si="38"/>
        <v>809</v>
      </c>
      <c r="AG823" s="15">
        <f t="shared" si="39"/>
        <v>-1</v>
      </c>
    </row>
    <row r="824" spans="31:33" x14ac:dyDescent="0.2">
      <c r="AE824" s="99">
        <f t="shared" si="40"/>
        <v>-809</v>
      </c>
      <c r="AF824" s="15">
        <f t="shared" si="38"/>
        <v>810</v>
      </c>
      <c r="AG824" s="15">
        <f t="shared" si="39"/>
        <v>-1</v>
      </c>
    </row>
    <row r="825" spans="31:33" x14ac:dyDescent="0.2">
      <c r="AE825" s="99">
        <f t="shared" si="40"/>
        <v>-810</v>
      </c>
      <c r="AF825" s="15">
        <f t="shared" si="38"/>
        <v>811</v>
      </c>
      <c r="AG825" s="15">
        <f t="shared" si="39"/>
        <v>-1</v>
      </c>
    </row>
    <row r="826" spans="31:33" x14ac:dyDescent="0.2">
      <c r="AE826" s="99">
        <f t="shared" si="40"/>
        <v>-811</v>
      </c>
      <c r="AF826" s="15">
        <f t="shared" si="38"/>
        <v>812</v>
      </c>
      <c r="AG826" s="15">
        <f t="shared" si="39"/>
        <v>-1</v>
      </c>
    </row>
    <row r="827" spans="31:33" x14ac:dyDescent="0.2">
      <c r="AE827" s="99">
        <f t="shared" si="40"/>
        <v>-812</v>
      </c>
      <c r="AF827" s="15">
        <f t="shared" si="38"/>
        <v>813</v>
      </c>
      <c r="AG827" s="15">
        <f t="shared" si="39"/>
        <v>-1</v>
      </c>
    </row>
    <row r="828" spans="31:33" x14ac:dyDescent="0.2">
      <c r="AE828" s="99">
        <f t="shared" si="40"/>
        <v>-813</v>
      </c>
      <c r="AF828" s="15">
        <f t="shared" si="38"/>
        <v>814</v>
      </c>
      <c r="AG828" s="15">
        <f t="shared" si="39"/>
        <v>-1</v>
      </c>
    </row>
    <row r="829" spans="31:33" x14ac:dyDescent="0.2">
      <c r="AE829" s="99">
        <f t="shared" si="40"/>
        <v>-814</v>
      </c>
      <c r="AF829" s="15">
        <f t="shared" si="38"/>
        <v>815</v>
      </c>
      <c r="AG829" s="15">
        <f t="shared" si="39"/>
        <v>-1</v>
      </c>
    </row>
    <row r="830" spans="31:33" x14ac:dyDescent="0.2">
      <c r="AE830" s="99">
        <f t="shared" si="40"/>
        <v>-815</v>
      </c>
      <c r="AF830" s="15">
        <f t="shared" si="38"/>
        <v>816</v>
      </c>
      <c r="AG830" s="15">
        <f t="shared" si="39"/>
        <v>-1</v>
      </c>
    </row>
    <row r="831" spans="31:33" x14ac:dyDescent="0.2">
      <c r="AE831" s="99">
        <f t="shared" si="40"/>
        <v>-816</v>
      </c>
      <c r="AF831" s="15">
        <f t="shared" si="38"/>
        <v>817</v>
      </c>
      <c r="AG831" s="15">
        <f t="shared" si="39"/>
        <v>-1</v>
      </c>
    </row>
    <row r="832" spans="31:33" x14ac:dyDescent="0.2">
      <c r="AE832" s="99">
        <f t="shared" si="40"/>
        <v>-817</v>
      </c>
      <c r="AF832" s="15">
        <f t="shared" si="38"/>
        <v>818</v>
      </c>
      <c r="AG832" s="15">
        <f t="shared" si="39"/>
        <v>-1</v>
      </c>
    </row>
    <row r="833" spans="31:33" x14ac:dyDescent="0.2">
      <c r="AE833" s="99">
        <f t="shared" si="40"/>
        <v>-818</v>
      </c>
      <c r="AF833" s="15">
        <f t="shared" si="38"/>
        <v>819</v>
      </c>
      <c r="AG833" s="15">
        <f t="shared" si="39"/>
        <v>-1</v>
      </c>
    </row>
    <row r="834" spans="31:33" x14ac:dyDescent="0.2">
      <c r="AE834" s="99">
        <f t="shared" si="40"/>
        <v>-819</v>
      </c>
      <c r="AF834" s="15">
        <f t="shared" si="38"/>
        <v>820</v>
      </c>
      <c r="AG834" s="15">
        <f t="shared" si="39"/>
        <v>-1</v>
      </c>
    </row>
    <row r="835" spans="31:33" x14ac:dyDescent="0.2">
      <c r="AE835" s="99">
        <f t="shared" si="40"/>
        <v>-820</v>
      </c>
      <c r="AF835" s="15">
        <f t="shared" si="38"/>
        <v>821</v>
      </c>
      <c r="AG835" s="15">
        <f t="shared" si="39"/>
        <v>-1</v>
      </c>
    </row>
    <row r="836" spans="31:33" x14ac:dyDescent="0.2">
      <c r="AE836" s="99">
        <f t="shared" si="40"/>
        <v>-821</v>
      </c>
      <c r="AF836" s="15">
        <f t="shared" ref="AF836:AF899" si="41">IF(AF835&gt;=1,AF835+1,IF(AE836=0,1,-1))</f>
        <v>822</v>
      </c>
      <c r="AG836" s="15">
        <f t="shared" ref="AG836:AG899" si="42">IF(AND(AG835&gt;=1,AG835&lt;$AB$3),AG835+1,IF(AE836=0,1,-1))</f>
        <v>-1</v>
      </c>
    </row>
    <row r="837" spans="31:33" x14ac:dyDescent="0.2">
      <c r="AE837" s="99">
        <f t="shared" ref="AE837:AE900" si="43">AE836-1</f>
        <v>-822</v>
      </c>
      <c r="AF837" s="15">
        <f t="shared" si="41"/>
        <v>823</v>
      </c>
      <c r="AG837" s="15">
        <f t="shared" si="42"/>
        <v>-1</v>
      </c>
    </row>
    <row r="838" spans="31:33" x14ac:dyDescent="0.2">
      <c r="AE838" s="99">
        <f t="shared" si="43"/>
        <v>-823</v>
      </c>
      <c r="AF838" s="15">
        <f t="shared" si="41"/>
        <v>824</v>
      </c>
      <c r="AG838" s="15">
        <f t="shared" si="42"/>
        <v>-1</v>
      </c>
    </row>
    <row r="839" spans="31:33" x14ac:dyDescent="0.2">
      <c r="AE839" s="99">
        <f t="shared" si="43"/>
        <v>-824</v>
      </c>
      <c r="AF839" s="15">
        <f t="shared" si="41"/>
        <v>825</v>
      </c>
      <c r="AG839" s="15">
        <f t="shared" si="42"/>
        <v>-1</v>
      </c>
    </row>
    <row r="840" spans="31:33" x14ac:dyDescent="0.2">
      <c r="AE840" s="99">
        <f t="shared" si="43"/>
        <v>-825</v>
      </c>
      <c r="AF840" s="15">
        <f t="shared" si="41"/>
        <v>826</v>
      </c>
      <c r="AG840" s="15">
        <f t="shared" si="42"/>
        <v>-1</v>
      </c>
    </row>
    <row r="841" spans="31:33" x14ac:dyDescent="0.2">
      <c r="AE841" s="99">
        <f t="shared" si="43"/>
        <v>-826</v>
      </c>
      <c r="AF841" s="15">
        <f t="shared" si="41"/>
        <v>827</v>
      </c>
      <c r="AG841" s="15">
        <f t="shared" si="42"/>
        <v>-1</v>
      </c>
    </row>
    <row r="842" spans="31:33" x14ac:dyDescent="0.2">
      <c r="AE842" s="99">
        <f t="shared" si="43"/>
        <v>-827</v>
      </c>
      <c r="AF842" s="15">
        <f t="shared" si="41"/>
        <v>828</v>
      </c>
      <c r="AG842" s="15">
        <f t="shared" si="42"/>
        <v>-1</v>
      </c>
    </row>
    <row r="843" spans="31:33" x14ac:dyDescent="0.2">
      <c r="AE843" s="99">
        <f t="shared" si="43"/>
        <v>-828</v>
      </c>
      <c r="AF843" s="15">
        <f t="shared" si="41"/>
        <v>829</v>
      </c>
      <c r="AG843" s="15">
        <f t="shared" si="42"/>
        <v>-1</v>
      </c>
    </row>
    <row r="844" spans="31:33" x14ac:dyDescent="0.2">
      <c r="AE844" s="99">
        <f t="shared" si="43"/>
        <v>-829</v>
      </c>
      <c r="AF844" s="15">
        <f t="shared" si="41"/>
        <v>830</v>
      </c>
      <c r="AG844" s="15">
        <f t="shared" si="42"/>
        <v>-1</v>
      </c>
    </row>
    <row r="845" spans="31:33" x14ac:dyDescent="0.2">
      <c r="AE845" s="99">
        <f t="shared" si="43"/>
        <v>-830</v>
      </c>
      <c r="AF845" s="15">
        <f t="shared" si="41"/>
        <v>831</v>
      </c>
      <c r="AG845" s="15">
        <f t="shared" si="42"/>
        <v>-1</v>
      </c>
    </row>
    <row r="846" spans="31:33" x14ac:dyDescent="0.2">
      <c r="AE846" s="99">
        <f t="shared" si="43"/>
        <v>-831</v>
      </c>
      <c r="AF846" s="15">
        <f t="shared" si="41"/>
        <v>832</v>
      </c>
      <c r="AG846" s="15">
        <f t="shared" si="42"/>
        <v>-1</v>
      </c>
    </row>
    <row r="847" spans="31:33" x14ac:dyDescent="0.2">
      <c r="AE847" s="99">
        <f t="shared" si="43"/>
        <v>-832</v>
      </c>
      <c r="AF847" s="15">
        <f t="shared" si="41"/>
        <v>833</v>
      </c>
      <c r="AG847" s="15">
        <f t="shared" si="42"/>
        <v>-1</v>
      </c>
    </row>
    <row r="848" spans="31:33" x14ac:dyDescent="0.2">
      <c r="AE848" s="99">
        <f t="shared" si="43"/>
        <v>-833</v>
      </c>
      <c r="AF848" s="15">
        <f t="shared" si="41"/>
        <v>834</v>
      </c>
      <c r="AG848" s="15">
        <f t="shared" si="42"/>
        <v>-1</v>
      </c>
    </row>
    <row r="849" spans="31:33" x14ac:dyDescent="0.2">
      <c r="AE849" s="99">
        <f t="shared" si="43"/>
        <v>-834</v>
      </c>
      <c r="AF849" s="15">
        <f t="shared" si="41"/>
        <v>835</v>
      </c>
      <c r="AG849" s="15">
        <f t="shared" si="42"/>
        <v>-1</v>
      </c>
    </row>
    <row r="850" spans="31:33" x14ac:dyDescent="0.2">
      <c r="AE850" s="99">
        <f t="shared" si="43"/>
        <v>-835</v>
      </c>
      <c r="AF850" s="15">
        <f t="shared" si="41"/>
        <v>836</v>
      </c>
      <c r="AG850" s="15">
        <f t="shared" si="42"/>
        <v>-1</v>
      </c>
    </row>
    <row r="851" spans="31:33" x14ac:dyDescent="0.2">
      <c r="AE851" s="99">
        <f t="shared" si="43"/>
        <v>-836</v>
      </c>
      <c r="AF851" s="15">
        <f t="shared" si="41"/>
        <v>837</v>
      </c>
      <c r="AG851" s="15">
        <f t="shared" si="42"/>
        <v>-1</v>
      </c>
    </row>
    <row r="852" spans="31:33" x14ac:dyDescent="0.2">
      <c r="AE852" s="99">
        <f t="shared" si="43"/>
        <v>-837</v>
      </c>
      <c r="AF852" s="15">
        <f t="shared" si="41"/>
        <v>838</v>
      </c>
      <c r="AG852" s="15">
        <f t="shared" si="42"/>
        <v>-1</v>
      </c>
    </row>
    <row r="853" spans="31:33" x14ac:dyDescent="0.2">
      <c r="AE853" s="99">
        <f t="shared" si="43"/>
        <v>-838</v>
      </c>
      <c r="AF853" s="15">
        <f t="shared" si="41"/>
        <v>839</v>
      </c>
      <c r="AG853" s="15">
        <f t="shared" si="42"/>
        <v>-1</v>
      </c>
    </row>
    <row r="854" spans="31:33" x14ac:dyDescent="0.2">
      <c r="AE854" s="99">
        <f t="shared" si="43"/>
        <v>-839</v>
      </c>
      <c r="AF854" s="15">
        <f t="shared" si="41"/>
        <v>840</v>
      </c>
      <c r="AG854" s="15">
        <f t="shared" si="42"/>
        <v>-1</v>
      </c>
    </row>
    <row r="855" spans="31:33" x14ac:dyDescent="0.2">
      <c r="AE855" s="99">
        <f t="shared" si="43"/>
        <v>-840</v>
      </c>
      <c r="AF855" s="15">
        <f t="shared" si="41"/>
        <v>841</v>
      </c>
      <c r="AG855" s="15">
        <f t="shared" si="42"/>
        <v>-1</v>
      </c>
    </row>
    <row r="856" spans="31:33" x14ac:dyDescent="0.2">
      <c r="AE856" s="99">
        <f t="shared" si="43"/>
        <v>-841</v>
      </c>
      <c r="AF856" s="15">
        <f t="shared" si="41"/>
        <v>842</v>
      </c>
      <c r="AG856" s="15">
        <f t="shared" si="42"/>
        <v>-1</v>
      </c>
    </row>
    <row r="857" spans="31:33" x14ac:dyDescent="0.2">
      <c r="AE857" s="99">
        <f t="shared" si="43"/>
        <v>-842</v>
      </c>
      <c r="AF857" s="15">
        <f t="shared" si="41"/>
        <v>843</v>
      </c>
      <c r="AG857" s="15">
        <f t="shared" si="42"/>
        <v>-1</v>
      </c>
    </row>
    <row r="858" spans="31:33" x14ac:dyDescent="0.2">
      <c r="AE858" s="99">
        <f t="shared" si="43"/>
        <v>-843</v>
      </c>
      <c r="AF858" s="15">
        <f t="shared" si="41"/>
        <v>844</v>
      </c>
      <c r="AG858" s="15">
        <f t="shared" si="42"/>
        <v>-1</v>
      </c>
    </row>
    <row r="859" spans="31:33" x14ac:dyDescent="0.2">
      <c r="AE859" s="99">
        <f t="shared" si="43"/>
        <v>-844</v>
      </c>
      <c r="AF859" s="15">
        <f t="shared" si="41"/>
        <v>845</v>
      </c>
      <c r="AG859" s="15">
        <f t="shared" si="42"/>
        <v>-1</v>
      </c>
    </row>
    <row r="860" spans="31:33" x14ac:dyDescent="0.2">
      <c r="AE860" s="99">
        <f t="shared" si="43"/>
        <v>-845</v>
      </c>
      <c r="AF860" s="15">
        <f t="shared" si="41"/>
        <v>846</v>
      </c>
      <c r="AG860" s="15">
        <f t="shared" si="42"/>
        <v>-1</v>
      </c>
    </row>
    <row r="861" spans="31:33" x14ac:dyDescent="0.2">
      <c r="AE861" s="99">
        <f t="shared" si="43"/>
        <v>-846</v>
      </c>
      <c r="AF861" s="15">
        <f t="shared" si="41"/>
        <v>847</v>
      </c>
      <c r="AG861" s="15">
        <f t="shared" si="42"/>
        <v>-1</v>
      </c>
    </row>
    <row r="862" spans="31:33" x14ac:dyDescent="0.2">
      <c r="AE862" s="99">
        <f t="shared" si="43"/>
        <v>-847</v>
      </c>
      <c r="AF862" s="15">
        <f t="shared" si="41"/>
        <v>848</v>
      </c>
      <c r="AG862" s="15">
        <f t="shared" si="42"/>
        <v>-1</v>
      </c>
    </row>
    <row r="863" spans="31:33" x14ac:dyDescent="0.2">
      <c r="AE863" s="99">
        <f t="shared" si="43"/>
        <v>-848</v>
      </c>
      <c r="AF863" s="15">
        <f t="shared" si="41"/>
        <v>849</v>
      </c>
      <c r="AG863" s="15">
        <f t="shared" si="42"/>
        <v>-1</v>
      </c>
    </row>
    <row r="864" spans="31:33" x14ac:dyDescent="0.2">
      <c r="AE864" s="99">
        <f t="shared" si="43"/>
        <v>-849</v>
      </c>
      <c r="AF864" s="15">
        <f t="shared" si="41"/>
        <v>850</v>
      </c>
      <c r="AG864" s="15">
        <f t="shared" si="42"/>
        <v>-1</v>
      </c>
    </row>
    <row r="865" spans="31:33" x14ac:dyDescent="0.2">
      <c r="AE865" s="99">
        <f t="shared" si="43"/>
        <v>-850</v>
      </c>
      <c r="AF865" s="15">
        <f t="shared" si="41"/>
        <v>851</v>
      </c>
      <c r="AG865" s="15">
        <f t="shared" si="42"/>
        <v>-1</v>
      </c>
    </row>
    <row r="866" spans="31:33" x14ac:dyDescent="0.2">
      <c r="AE866" s="99">
        <f t="shared" si="43"/>
        <v>-851</v>
      </c>
      <c r="AF866" s="15">
        <f t="shared" si="41"/>
        <v>852</v>
      </c>
      <c r="AG866" s="15">
        <f t="shared" si="42"/>
        <v>-1</v>
      </c>
    </row>
    <row r="867" spans="31:33" x14ac:dyDescent="0.2">
      <c r="AE867" s="99">
        <f t="shared" si="43"/>
        <v>-852</v>
      </c>
      <c r="AF867" s="15">
        <f t="shared" si="41"/>
        <v>853</v>
      </c>
      <c r="AG867" s="15">
        <f t="shared" si="42"/>
        <v>-1</v>
      </c>
    </row>
    <row r="868" spans="31:33" x14ac:dyDescent="0.2">
      <c r="AE868" s="99">
        <f t="shared" si="43"/>
        <v>-853</v>
      </c>
      <c r="AF868" s="15">
        <f t="shared" si="41"/>
        <v>854</v>
      </c>
      <c r="AG868" s="15">
        <f t="shared" si="42"/>
        <v>-1</v>
      </c>
    </row>
    <row r="869" spans="31:33" x14ac:dyDescent="0.2">
      <c r="AE869" s="99">
        <f t="shared" si="43"/>
        <v>-854</v>
      </c>
      <c r="AF869" s="15">
        <f t="shared" si="41"/>
        <v>855</v>
      </c>
      <c r="AG869" s="15">
        <f t="shared" si="42"/>
        <v>-1</v>
      </c>
    </row>
    <row r="870" spans="31:33" x14ac:dyDescent="0.2">
      <c r="AE870" s="99">
        <f t="shared" si="43"/>
        <v>-855</v>
      </c>
      <c r="AF870" s="15">
        <f t="shared" si="41"/>
        <v>856</v>
      </c>
      <c r="AG870" s="15">
        <f t="shared" si="42"/>
        <v>-1</v>
      </c>
    </row>
    <row r="871" spans="31:33" x14ac:dyDescent="0.2">
      <c r="AE871" s="99">
        <f t="shared" si="43"/>
        <v>-856</v>
      </c>
      <c r="AF871" s="15">
        <f t="shared" si="41"/>
        <v>857</v>
      </c>
      <c r="AG871" s="15">
        <f t="shared" si="42"/>
        <v>-1</v>
      </c>
    </row>
    <row r="872" spans="31:33" x14ac:dyDescent="0.2">
      <c r="AE872" s="99">
        <f t="shared" si="43"/>
        <v>-857</v>
      </c>
      <c r="AF872" s="15">
        <f t="shared" si="41"/>
        <v>858</v>
      </c>
      <c r="AG872" s="15">
        <f t="shared" si="42"/>
        <v>-1</v>
      </c>
    </row>
    <row r="873" spans="31:33" x14ac:dyDescent="0.2">
      <c r="AE873" s="99">
        <f t="shared" si="43"/>
        <v>-858</v>
      </c>
      <c r="AF873" s="15">
        <f t="shared" si="41"/>
        <v>859</v>
      </c>
      <c r="AG873" s="15">
        <f t="shared" si="42"/>
        <v>-1</v>
      </c>
    </row>
    <row r="874" spans="31:33" x14ac:dyDescent="0.2">
      <c r="AE874" s="99">
        <f t="shared" si="43"/>
        <v>-859</v>
      </c>
      <c r="AF874" s="15">
        <f t="shared" si="41"/>
        <v>860</v>
      </c>
      <c r="AG874" s="15">
        <f t="shared" si="42"/>
        <v>-1</v>
      </c>
    </row>
    <row r="875" spans="31:33" x14ac:dyDescent="0.2">
      <c r="AE875" s="99">
        <f t="shared" si="43"/>
        <v>-860</v>
      </c>
      <c r="AF875" s="15">
        <f t="shared" si="41"/>
        <v>861</v>
      </c>
      <c r="AG875" s="15">
        <f t="shared" si="42"/>
        <v>-1</v>
      </c>
    </row>
    <row r="876" spans="31:33" x14ac:dyDescent="0.2">
      <c r="AE876" s="99">
        <f t="shared" si="43"/>
        <v>-861</v>
      </c>
      <c r="AF876" s="15">
        <f t="shared" si="41"/>
        <v>862</v>
      </c>
      <c r="AG876" s="15">
        <f t="shared" si="42"/>
        <v>-1</v>
      </c>
    </row>
    <row r="877" spans="31:33" x14ac:dyDescent="0.2">
      <c r="AE877" s="99">
        <f t="shared" si="43"/>
        <v>-862</v>
      </c>
      <c r="AF877" s="15">
        <f t="shared" si="41"/>
        <v>863</v>
      </c>
      <c r="AG877" s="15">
        <f t="shared" si="42"/>
        <v>-1</v>
      </c>
    </row>
    <row r="878" spans="31:33" x14ac:dyDescent="0.2">
      <c r="AE878" s="99">
        <f t="shared" si="43"/>
        <v>-863</v>
      </c>
      <c r="AF878" s="15">
        <f t="shared" si="41"/>
        <v>864</v>
      </c>
      <c r="AG878" s="15">
        <f t="shared" si="42"/>
        <v>-1</v>
      </c>
    </row>
    <row r="879" spans="31:33" x14ac:dyDescent="0.2">
      <c r="AE879" s="99">
        <f t="shared" si="43"/>
        <v>-864</v>
      </c>
      <c r="AF879" s="15">
        <f t="shared" si="41"/>
        <v>865</v>
      </c>
      <c r="AG879" s="15">
        <f t="shared" si="42"/>
        <v>-1</v>
      </c>
    </row>
    <row r="880" spans="31:33" x14ac:dyDescent="0.2">
      <c r="AE880" s="99">
        <f t="shared" si="43"/>
        <v>-865</v>
      </c>
      <c r="AF880" s="15">
        <f t="shared" si="41"/>
        <v>866</v>
      </c>
      <c r="AG880" s="15">
        <f t="shared" si="42"/>
        <v>-1</v>
      </c>
    </row>
    <row r="881" spans="31:33" x14ac:dyDescent="0.2">
      <c r="AE881" s="99">
        <f t="shared" si="43"/>
        <v>-866</v>
      </c>
      <c r="AF881" s="15">
        <f t="shared" si="41"/>
        <v>867</v>
      </c>
      <c r="AG881" s="15">
        <f t="shared" si="42"/>
        <v>-1</v>
      </c>
    </row>
    <row r="882" spans="31:33" x14ac:dyDescent="0.2">
      <c r="AE882" s="99">
        <f t="shared" si="43"/>
        <v>-867</v>
      </c>
      <c r="AF882" s="15">
        <f t="shared" si="41"/>
        <v>868</v>
      </c>
      <c r="AG882" s="15">
        <f t="shared" si="42"/>
        <v>-1</v>
      </c>
    </row>
    <row r="883" spans="31:33" x14ac:dyDescent="0.2">
      <c r="AE883" s="99">
        <f t="shared" si="43"/>
        <v>-868</v>
      </c>
      <c r="AF883" s="15">
        <f t="shared" si="41"/>
        <v>869</v>
      </c>
      <c r="AG883" s="15">
        <f t="shared" si="42"/>
        <v>-1</v>
      </c>
    </row>
    <row r="884" spans="31:33" x14ac:dyDescent="0.2">
      <c r="AE884" s="99">
        <f t="shared" si="43"/>
        <v>-869</v>
      </c>
      <c r="AF884" s="15">
        <f t="shared" si="41"/>
        <v>870</v>
      </c>
      <c r="AG884" s="15">
        <f t="shared" si="42"/>
        <v>-1</v>
      </c>
    </row>
    <row r="885" spans="31:33" x14ac:dyDescent="0.2">
      <c r="AE885" s="99">
        <f t="shared" si="43"/>
        <v>-870</v>
      </c>
      <c r="AF885" s="15">
        <f t="shared" si="41"/>
        <v>871</v>
      </c>
      <c r="AG885" s="15">
        <f t="shared" si="42"/>
        <v>-1</v>
      </c>
    </row>
    <row r="886" spans="31:33" x14ac:dyDescent="0.2">
      <c r="AE886" s="99">
        <f t="shared" si="43"/>
        <v>-871</v>
      </c>
      <c r="AF886" s="15">
        <f t="shared" si="41"/>
        <v>872</v>
      </c>
      <c r="AG886" s="15">
        <f t="shared" si="42"/>
        <v>-1</v>
      </c>
    </row>
    <row r="887" spans="31:33" x14ac:dyDescent="0.2">
      <c r="AE887" s="99">
        <f t="shared" si="43"/>
        <v>-872</v>
      </c>
      <c r="AF887" s="15">
        <f t="shared" si="41"/>
        <v>873</v>
      </c>
      <c r="AG887" s="15">
        <f t="shared" si="42"/>
        <v>-1</v>
      </c>
    </row>
    <row r="888" spans="31:33" x14ac:dyDescent="0.2">
      <c r="AE888" s="99">
        <f t="shared" si="43"/>
        <v>-873</v>
      </c>
      <c r="AF888" s="15">
        <f t="shared" si="41"/>
        <v>874</v>
      </c>
      <c r="AG888" s="15">
        <f t="shared" si="42"/>
        <v>-1</v>
      </c>
    </row>
    <row r="889" spans="31:33" x14ac:dyDescent="0.2">
      <c r="AE889" s="99">
        <f t="shared" si="43"/>
        <v>-874</v>
      </c>
      <c r="AF889" s="15">
        <f t="shared" si="41"/>
        <v>875</v>
      </c>
      <c r="AG889" s="15">
        <f t="shared" si="42"/>
        <v>-1</v>
      </c>
    </row>
    <row r="890" spans="31:33" x14ac:dyDescent="0.2">
      <c r="AE890" s="99">
        <f t="shared" si="43"/>
        <v>-875</v>
      </c>
      <c r="AF890" s="15">
        <f t="shared" si="41"/>
        <v>876</v>
      </c>
      <c r="AG890" s="15">
        <f t="shared" si="42"/>
        <v>-1</v>
      </c>
    </row>
    <row r="891" spans="31:33" x14ac:dyDescent="0.2">
      <c r="AE891" s="99">
        <f t="shared" si="43"/>
        <v>-876</v>
      </c>
      <c r="AF891" s="15">
        <f t="shared" si="41"/>
        <v>877</v>
      </c>
      <c r="AG891" s="15">
        <f t="shared" si="42"/>
        <v>-1</v>
      </c>
    </row>
    <row r="892" spans="31:33" x14ac:dyDescent="0.2">
      <c r="AE892" s="99">
        <f t="shared" si="43"/>
        <v>-877</v>
      </c>
      <c r="AF892" s="15">
        <f t="shared" si="41"/>
        <v>878</v>
      </c>
      <c r="AG892" s="15">
        <f t="shared" si="42"/>
        <v>-1</v>
      </c>
    </row>
    <row r="893" spans="31:33" x14ac:dyDescent="0.2">
      <c r="AE893" s="99">
        <f t="shared" si="43"/>
        <v>-878</v>
      </c>
      <c r="AF893" s="15">
        <f t="shared" si="41"/>
        <v>879</v>
      </c>
      <c r="AG893" s="15">
        <f t="shared" si="42"/>
        <v>-1</v>
      </c>
    </row>
    <row r="894" spans="31:33" x14ac:dyDescent="0.2">
      <c r="AE894" s="99">
        <f t="shared" si="43"/>
        <v>-879</v>
      </c>
      <c r="AF894" s="15">
        <f t="shared" si="41"/>
        <v>880</v>
      </c>
      <c r="AG894" s="15">
        <f t="shared" si="42"/>
        <v>-1</v>
      </c>
    </row>
    <row r="895" spans="31:33" x14ac:dyDescent="0.2">
      <c r="AE895" s="99">
        <f t="shared" si="43"/>
        <v>-880</v>
      </c>
      <c r="AF895" s="15">
        <f t="shared" si="41"/>
        <v>881</v>
      </c>
      <c r="AG895" s="15">
        <f t="shared" si="42"/>
        <v>-1</v>
      </c>
    </row>
    <row r="896" spans="31:33" x14ac:dyDescent="0.2">
      <c r="AE896" s="99">
        <f t="shared" si="43"/>
        <v>-881</v>
      </c>
      <c r="AF896" s="15">
        <f t="shared" si="41"/>
        <v>882</v>
      </c>
      <c r="AG896" s="15">
        <f t="shared" si="42"/>
        <v>-1</v>
      </c>
    </row>
    <row r="897" spans="31:33" x14ac:dyDescent="0.2">
      <c r="AE897" s="99">
        <f t="shared" si="43"/>
        <v>-882</v>
      </c>
      <c r="AF897" s="15">
        <f t="shared" si="41"/>
        <v>883</v>
      </c>
      <c r="AG897" s="15">
        <f t="shared" si="42"/>
        <v>-1</v>
      </c>
    </row>
    <row r="898" spans="31:33" x14ac:dyDescent="0.2">
      <c r="AE898" s="99">
        <f t="shared" si="43"/>
        <v>-883</v>
      </c>
      <c r="AF898" s="15">
        <f t="shared" si="41"/>
        <v>884</v>
      </c>
      <c r="AG898" s="15">
        <f t="shared" si="42"/>
        <v>-1</v>
      </c>
    </row>
    <row r="899" spans="31:33" x14ac:dyDescent="0.2">
      <c r="AE899" s="99">
        <f t="shared" si="43"/>
        <v>-884</v>
      </c>
      <c r="AF899" s="15">
        <f t="shared" si="41"/>
        <v>885</v>
      </c>
      <c r="AG899" s="15">
        <f t="shared" si="42"/>
        <v>-1</v>
      </c>
    </row>
    <row r="900" spans="31:33" x14ac:dyDescent="0.2">
      <c r="AE900" s="99">
        <f t="shared" si="43"/>
        <v>-885</v>
      </c>
      <c r="AF900" s="15">
        <f t="shared" ref="AF900:AF963" si="44">IF(AF899&gt;=1,AF899+1,IF(AE900=0,1,-1))</f>
        <v>886</v>
      </c>
      <c r="AG900" s="15">
        <f t="shared" ref="AG900:AG963" si="45">IF(AND(AG899&gt;=1,AG899&lt;$AB$3),AG899+1,IF(AE900=0,1,-1))</f>
        <v>-1</v>
      </c>
    </row>
    <row r="901" spans="31:33" x14ac:dyDescent="0.2">
      <c r="AE901" s="99">
        <f t="shared" ref="AE901:AE964" si="46">AE900-1</f>
        <v>-886</v>
      </c>
      <c r="AF901" s="15">
        <f t="shared" si="44"/>
        <v>887</v>
      </c>
      <c r="AG901" s="15">
        <f t="shared" si="45"/>
        <v>-1</v>
      </c>
    </row>
    <row r="902" spans="31:33" x14ac:dyDescent="0.2">
      <c r="AE902" s="99">
        <f t="shared" si="46"/>
        <v>-887</v>
      </c>
      <c r="AF902" s="15">
        <f t="shared" si="44"/>
        <v>888</v>
      </c>
      <c r="AG902" s="15">
        <f t="shared" si="45"/>
        <v>-1</v>
      </c>
    </row>
    <row r="903" spans="31:33" x14ac:dyDescent="0.2">
      <c r="AE903" s="99">
        <f t="shared" si="46"/>
        <v>-888</v>
      </c>
      <c r="AF903" s="15">
        <f t="shared" si="44"/>
        <v>889</v>
      </c>
      <c r="AG903" s="15">
        <f t="shared" si="45"/>
        <v>-1</v>
      </c>
    </row>
    <row r="904" spans="31:33" x14ac:dyDescent="0.2">
      <c r="AE904" s="99">
        <f t="shared" si="46"/>
        <v>-889</v>
      </c>
      <c r="AF904" s="15">
        <f t="shared" si="44"/>
        <v>890</v>
      </c>
      <c r="AG904" s="15">
        <f t="shared" si="45"/>
        <v>-1</v>
      </c>
    </row>
    <row r="905" spans="31:33" x14ac:dyDescent="0.2">
      <c r="AE905" s="99">
        <f t="shared" si="46"/>
        <v>-890</v>
      </c>
      <c r="AF905" s="15">
        <f t="shared" si="44"/>
        <v>891</v>
      </c>
      <c r="AG905" s="15">
        <f t="shared" si="45"/>
        <v>-1</v>
      </c>
    </row>
    <row r="906" spans="31:33" x14ac:dyDescent="0.2">
      <c r="AE906" s="99">
        <f t="shared" si="46"/>
        <v>-891</v>
      </c>
      <c r="AF906" s="15">
        <f t="shared" si="44"/>
        <v>892</v>
      </c>
      <c r="AG906" s="15">
        <f t="shared" si="45"/>
        <v>-1</v>
      </c>
    </row>
    <row r="907" spans="31:33" x14ac:dyDescent="0.2">
      <c r="AE907" s="99">
        <f t="shared" si="46"/>
        <v>-892</v>
      </c>
      <c r="AF907" s="15">
        <f t="shared" si="44"/>
        <v>893</v>
      </c>
      <c r="AG907" s="15">
        <f t="shared" si="45"/>
        <v>-1</v>
      </c>
    </row>
    <row r="908" spans="31:33" x14ac:dyDescent="0.2">
      <c r="AE908" s="99">
        <f t="shared" si="46"/>
        <v>-893</v>
      </c>
      <c r="AF908" s="15">
        <f t="shared" si="44"/>
        <v>894</v>
      </c>
      <c r="AG908" s="15">
        <f t="shared" si="45"/>
        <v>-1</v>
      </c>
    </row>
    <row r="909" spans="31:33" x14ac:dyDescent="0.2">
      <c r="AE909" s="99">
        <f t="shared" si="46"/>
        <v>-894</v>
      </c>
      <c r="AF909" s="15">
        <f t="shared" si="44"/>
        <v>895</v>
      </c>
      <c r="AG909" s="15">
        <f t="shared" si="45"/>
        <v>-1</v>
      </c>
    </row>
    <row r="910" spans="31:33" x14ac:dyDescent="0.2">
      <c r="AE910" s="99">
        <f t="shared" si="46"/>
        <v>-895</v>
      </c>
      <c r="AF910" s="15">
        <f t="shared" si="44"/>
        <v>896</v>
      </c>
      <c r="AG910" s="15">
        <f t="shared" si="45"/>
        <v>-1</v>
      </c>
    </row>
    <row r="911" spans="31:33" x14ac:dyDescent="0.2">
      <c r="AE911" s="99">
        <f t="shared" si="46"/>
        <v>-896</v>
      </c>
      <c r="AF911" s="15">
        <f t="shared" si="44"/>
        <v>897</v>
      </c>
      <c r="AG911" s="15">
        <f t="shared" si="45"/>
        <v>-1</v>
      </c>
    </row>
    <row r="912" spans="31:33" x14ac:dyDescent="0.2">
      <c r="AE912" s="99">
        <f t="shared" si="46"/>
        <v>-897</v>
      </c>
      <c r="AF912" s="15">
        <f t="shared" si="44"/>
        <v>898</v>
      </c>
      <c r="AG912" s="15">
        <f t="shared" si="45"/>
        <v>-1</v>
      </c>
    </row>
    <row r="913" spans="31:33" x14ac:dyDescent="0.2">
      <c r="AE913" s="99">
        <f t="shared" si="46"/>
        <v>-898</v>
      </c>
      <c r="AF913" s="15">
        <f t="shared" si="44"/>
        <v>899</v>
      </c>
      <c r="AG913" s="15">
        <f t="shared" si="45"/>
        <v>-1</v>
      </c>
    </row>
    <row r="914" spans="31:33" x14ac:dyDescent="0.2">
      <c r="AE914" s="99">
        <f t="shared" si="46"/>
        <v>-899</v>
      </c>
      <c r="AF914" s="15">
        <f t="shared" si="44"/>
        <v>900</v>
      </c>
      <c r="AG914" s="15">
        <f t="shared" si="45"/>
        <v>-1</v>
      </c>
    </row>
    <row r="915" spans="31:33" x14ac:dyDescent="0.2">
      <c r="AE915" s="99">
        <f t="shared" si="46"/>
        <v>-900</v>
      </c>
      <c r="AF915" s="15">
        <f t="shared" si="44"/>
        <v>901</v>
      </c>
      <c r="AG915" s="15">
        <f t="shared" si="45"/>
        <v>-1</v>
      </c>
    </row>
    <row r="916" spans="31:33" x14ac:dyDescent="0.2">
      <c r="AE916" s="99">
        <f t="shared" si="46"/>
        <v>-901</v>
      </c>
      <c r="AF916" s="15">
        <f t="shared" si="44"/>
        <v>902</v>
      </c>
      <c r="AG916" s="15">
        <f t="shared" si="45"/>
        <v>-1</v>
      </c>
    </row>
    <row r="917" spans="31:33" x14ac:dyDescent="0.2">
      <c r="AE917" s="99">
        <f t="shared" si="46"/>
        <v>-902</v>
      </c>
      <c r="AF917" s="15">
        <f t="shared" si="44"/>
        <v>903</v>
      </c>
      <c r="AG917" s="15">
        <f t="shared" si="45"/>
        <v>-1</v>
      </c>
    </row>
    <row r="918" spans="31:33" x14ac:dyDescent="0.2">
      <c r="AE918" s="99">
        <f t="shared" si="46"/>
        <v>-903</v>
      </c>
      <c r="AF918" s="15">
        <f t="shared" si="44"/>
        <v>904</v>
      </c>
      <c r="AG918" s="15">
        <f t="shared" si="45"/>
        <v>-1</v>
      </c>
    </row>
    <row r="919" spans="31:33" x14ac:dyDescent="0.2">
      <c r="AE919" s="99">
        <f t="shared" si="46"/>
        <v>-904</v>
      </c>
      <c r="AF919" s="15">
        <f t="shared" si="44"/>
        <v>905</v>
      </c>
      <c r="AG919" s="15">
        <f t="shared" si="45"/>
        <v>-1</v>
      </c>
    </row>
    <row r="920" spans="31:33" x14ac:dyDescent="0.2">
      <c r="AE920" s="99">
        <f t="shared" si="46"/>
        <v>-905</v>
      </c>
      <c r="AF920" s="15">
        <f t="shared" si="44"/>
        <v>906</v>
      </c>
      <c r="AG920" s="15">
        <f t="shared" si="45"/>
        <v>-1</v>
      </c>
    </row>
    <row r="921" spans="31:33" x14ac:dyDescent="0.2">
      <c r="AE921" s="99">
        <f t="shared" si="46"/>
        <v>-906</v>
      </c>
      <c r="AF921" s="15">
        <f t="shared" si="44"/>
        <v>907</v>
      </c>
      <c r="AG921" s="15">
        <f t="shared" si="45"/>
        <v>-1</v>
      </c>
    </row>
    <row r="922" spans="31:33" x14ac:dyDescent="0.2">
      <c r="AE922" s="99">
        <f t="shared" si="46"/>
        <v>-907</v>
      </c>
      <c r="AF922" s="15">
        <f t="shared" si="44"/>
        <v>908</v>
      </c>
      <c r="AG922" s="15">
        <f t="shared" si="45"/>
        <v>-1</v>
      </c>
    </row>
    <row r="923" spans="31:33" x14ac:dyDescent="0.2">
      <c r="AE923" s="99">
        <f t="shared" si="46"/>
        <v>-908</v>
      </c>
      <c r="AF923" s="15">
        <f t="shared" si="44"/>
        <v>909</v>
      </c>
      <c r="AG923" s="15">
        <f t="shared" si="45"/>
        <v>-1</v>
      </c>
    </row>
    <row r="924" spans="31:33" x14ac:dyDescent="0.2">
      <c r="AE924" s="99">
        <f t="shared" si="46"/>
        <v>-909</v>
      </c>
      <c r="AF924" s="15">
        <f t="shared" si="44"/>
        <v>910</v>
      </c>
      <c r="AG924" s="15">
        <f t="shared" si="45"/>
        <v>-1</v>
      </c>
    </row>
    <row r="925" spans="31:33" x14ac:dyDescent="0.2">
      <c r="AE925" s="99">
        <f t="shared" si="46"/>
        <v>-910</v>
      </c>
      <c r="AF925" s="15">
        <f t="shared" si="44"/>
        <v>911</v>
      </c>
      <c r="AG925" s="15">
        <f t="shared" si="45"/>
        <v>-1</v>
      </c>
    </row>
    <row r="926" spans="31:33" x14ac:dyDescent="0.2">
      <c r="AE926" s="99">
        <f t="shared" si="46"/>
        <v>-911</v>
      </c>
      <c r="AF926" s="15">
        <f t="shared" si="44"/>
        <v>912</v>
      </c>
      <c r="AG926" s="15">
        <f t="shared" si="45"/>
        <v>-1</v>
      </c>
    </row>
    <row r="927" spans="31:33" x14ac:dyDescent="0.2">
      <c r="AE927" s="99">
        <f t="shared" si="46"/>
        <v>-912</v>
      </c>
      <c r="AF927" s="15">
        <f t="shared" si="44"/>
        <v>913</v>
      </c>
      <c r="AG927" s="15">
        <f t="shared" si="45"/>
        <v>-1</v>
      </c>
    </row>
    <row r="928" spans="31:33" x14ac:dyDescent="0.2">
      <c r="AE928" s="99">
        <f t="shared" si="46"/>
        <v>-913</v>
      </c>
      <c r="AF928" s="15">
        <f t="shared" si="44"/>
        <v>914</v>
      </c>
      <c r="AG928" s="15">
        <f t="shared" si="45"/>
        <v>-1</v>
      </c>
    </row>
    <row r="929" spans="31:33" x14ac:dyDescent="0.2">
      <c r="AE929" s="99">
        <f t="shared" si="46"/>
        <v>-914</v>
      </c>
      <c r="AF929" s="15">
        <f t="shared" si="44"/>
        <v>915</v>
      </c>
      <c r="AG929" s="15">
        <f t="shared" si="45"/>
        <v>-1</v>
      </c>
    </row>
    <row r="930" spans="31:33" x14ac:dyDescent="0.2">
      <c r="AE930" s="99">
        <f t="shared" si="46"/>
        <v>-915</v>
      </c>
      <c r="AF930" s="15">
        <f t="shared" si="44"/>
        <v>916</v>
      </c>
      <c r="AG930" s="15">
        <f t="shared" si="45"/>
        <v>-1</v>
      </c>
    </row>
    <row r="931" spans="31:33" x14ac:dyDescent="0.2">
      <c r="AE931" s="99">
        <f t="shared" si="46"/>
        <v>-916</v>
      </c>
      <c r="AF931" s="15">
        <f t="shared" si="44"/>
        <v>917</v>
      </c>
      <c r="AG931" s="15">
        <f t="shared" si="45"/>
        <v>-1</v>
      </c>
    </row>
    <row r="932" spans="31:33" x14ac:dyDescent="0.2">
      <c r="AE932" s="99">
        <f t="shared" si="46"/>
        <v>-917</v>
      </c>
      <c r="AF932" s="15">
        <f t="shared" si="44"/>
        <v>918</v>
      </c>
      <c r="AG932" s="15">
        <f t="shared" si="45"/>
        <v>-1</v>
      </c>
    </row>
    <row r="933" spans="31:33" x14ac:dyDescent="0.2">
      <c r="AE933" s="99">
        <f t="shared" si="46"/>
        <v>-918</v>
      </c>
      <c r="AF933" s="15">
        <f t="shared" si="44"/>
        <v>919</v>
      </c>
      <c r="AG933" s="15">
        <f t="shared" si="45"/>
        <v>-1</v>
      </c>
    </row>
    <row r="934" spans="31:33" x14ac:dyDescent="0.2">
      <c r="AE934" s="99">
        <f t="shared" si="46"/>
        <v>-919</v>
      </c>
      <c r="AF934" s="15">
        <f t="shared" si="44"/>
        <v>920</v>
      </c>
      <c r="AG934" s="15">
        <f t="shared" si="45"/>
        <v>-1</v>
      </c>
    </row>
    <row r="935" spans="31:33" x14ac:dyDescent="0.2">
      <c r="AE935" s="99">
        <f t="shared" si="46"/>
        <v>-920</v>
      </c>
      <c r="AF935" s="15">
        <f t="shared" si="44"/>
        <v>921</v>
      </c>
      <c r="AG935" s="15">
        <f t="shared" si="45"/>
        <v>-1</v>
      </c>
    </row>
    <row r="936" spans="31:33" x14ac:dyDescent="0.2">
      <c r="AE936" s="99">
        <f t="shared" si="46"/>
        <v>-921</v>
      </c>
      <c r="AF936" s="15">
        <f t="shared" si="44"/>
        <v>922</v>
      </c>
      <c r="AG936" s="15">
        <f t="shared" si="45"/>
        <v>-1</v>
      </c>
    </row>
    <row r="937" spans="31:33" x14ac:dyDescent="0.2">
      <c r="AE937" s="99">
        <f t="shared" si="46"/>
        <v>-922</v>
      </c>
      <c r="AF937" s="15">
        <f t="shared" si="44"/>
        <v>923</v>
      </c>
      <c r="AG937" s="15">
        <f t="shared" si="45"/>
        <v>-1</v>
      </c>
    </row>
    <row r="938" spans="31:33" x14ac:dyDescent="0.2">
      <c r="AE938" s="99">
        <f t="shared" si="46"/>
        <v>-923</v>
      </c>
      <c r="AF938" s="15">
        <f t="shared" si="44"/>
        <v>924</v>
      </c>
      <c r="AG938" s="15">
        <f t="shared" si="45"/>
        <v>-1</v>
      </c>
    </row>
    <row r="939" spans="31:33" x14ac:dyDescent="0.2">
      <c r="AE939" s="99">
        <f t="shared" si="46"/>
        <v>-924</v>
      </c>
      <c r="AF939" s="15">
        <f t="shared" si="44"/>
        <v>925</v>
      </c>
      <c r="AG939" s="15">
        <f t="shared" si="45"/>
        <v>-1</v>
      </c>
    </row>
    <row r="940" spans="31:33" x14ac:dyDescent="0.2">
      <c r="AE940" s="99">
        <f t="shared" si="46"/>
        <v>-925</v>
      </c>
      <c r="AF940" s="15">
        <f t="shared" si="44"/>
        <v>926</v>
      </c>
      <c r="AG940" s="15">
        <f t="shared" si="45"/>
        <v>-1</v>
      </c>
    </row>
    <row r="941" spans="31:33" x14ac:dyDescent="0.2">
      <c r="AE941" s="99">
        <f t="shared" si="46"/>
        <v>-926</v>
      </c>
      <c r="AF941" s="15">
        <f t="shared" si="44"/>
        <v>927</v>
      </c>
      <c r="AG941" s="15">
        <f t="shared" si="45"/>
        <v>-1</v>
      </c>
    </row>
    <row r="942" spans="31:33" x14ac:dyDescent="0.2">
      <c r="AE942" s="99">
        <f t="shared" si="46"/>
        <v>-927</v>
      </c>
      <c r="AF942" s="15">
        <f t="shared" si="44"/>
        <v>928</v>
      </c>
      <c r="AG942" s="15">
        <f t="shared" si="45"/>
        <v>-1</v>
      </c>
    </row>
    <row r="943" spans="31:33" x14ac:dyDescent="0.2">
      <c r="AE943" s="99">
        <f t="shared" si="46"/>
        <v>-928</v>
      </c>
      <c r="AF943" s="15">
        <f t="shared" si="44"/>
        <v>929</v>
      </c>
      <c r="AG943" s="15">
        <f t="shared" si="45"/>
        <v>-1</v>
      </c>
    </row>
    <row r="944" spans="31:33" x14ac:dyDescent="0.2">
      <c r="AE944" s="99">
        <f t="shared" si="46"/>
        <v>-929</v>
      </c>
      <c r="AF944" s="15">
        <f t="shared" si="44"/>
        <v>930</v>
      </c>
      <c r="AG944" s="15">
        <f t="shared" si="45"/>
        <v>-1</v>
      </c>
    </row>
    <row r="945" spans="31:33" x14ac:dyDescent="0.2">
      <c r="AE945" s="99">
        <f t="shared" si="46"/>
        <v>-930</v>
      </c>
      <c r="AF945" s="15">
        <f t="shared" si="44"/>
        <v>931</v>
      </c>
      <c r="AG945" s="15">
        <f t="shared" si="45"/>
        <v>-1</v>
      </c>
    </row>
    <row r="946" spans="31:33" x14ac:dyDescent="0.2">
      <c r="AE946" s="99">
        <f t="shared" si="46"/>
        <v>-931</v>
      </c>
      <c r="AF946" s="15">
        <f t="shared" si="44"/>
        <v>932</v>
      </c>
      <c r="AG946" s="15">
        <f t="shared" si="45"/>
        <v>-1</v>
      </c>
    </row>
    <row r="947" spans="31:33" x14ac:dyDescent="0.2">
      <c r="AE947" s="99">
        <f t="shared" si="46"/>
        <v>-932</v>
      </c>
      <c r="AF947" s="15">
        <f t="shared" si="44"/>
        <v>933</v>
      </c>
      <c r="AG947" s="15">
        <f t="shared" si="45"/>
        <v>-1</v>
      </c>
    </row>
    <row r="948" spans="31:33" x14ac:dyDescent="0.2">
      <c r="AE948" s="99">
        <f t="shared" si="46"/>
        <v>-933</v>
      </c>
      <c r="AF948" s="15">
        <f t="shared" si="44"/>
        <v>934</v>
      </c>
      <c r="AG948" s="15">
        <f t="shared" si="45"/>
        <v>-1</v>
      </c>
    </row>
    <row r="949" spans="31:33" x14ac:dyDescent="0.2">
      <c r="AE949" s="99">
        <f t="shared" si="46"/>
        <v>-934</v>
      </c>
      <c r="AF949" s="15">
        <f t="shared" si="44"/>
        <v>935</v>
      </c>
      <c r="AG949" s="15">
        <f t="shared" si="45"/>
        <v>-1</v>
      </c>
    </row>
    <row r="950" spans="31:33" x14ac:dyDescent="0.2">
      <c r="AE950" s="99">
        <f t="shared" si="46"/>
        <v>-935</v>
      </c>
      <c r="AF950" s="15">
        <f t="shared" si="44"/>
        <v>936</v>
      </c>
      <c r="AG950" s="15">
        <f t="shared" si="45"/>
        <v>-1</v>
      </c>
    </row>
    <row r="951" spans="31:33" x14ac:dyDescent="0.2">
      <c r="AE951" s="99">
        <f t="shared" si="46"/>
        <v>-936</v>
      </c>
      <c r="AF951" s="15">
        <f t="shared" si="44"/>
        <v>937</v>
      </c>
      <c r="AG951" s="15">
        <f t="shared" si="45"/>
        <v>-1</v>
      </c>
    </row>
    <row r="952" spans="31:33" x14ac:dyDescent="0.2">
      <c r="AE952" s="99">
        <f t="shared" si="46"/>
        <v>-937</v>
      </c>
      <c r="AF952" s="15">
        <f t="shared" si="44"/>
        <v>938</v>
      </c>
      <c r="AG952" s="15">
        <f t="shared" si="45"/>
        <v>-1</v>
      </c>
    </row>
    <row r="953" spans="31:33" x14ac:dyDescent="0.2">
      <c r="AE953" s="99">
        <f t="shared" si="46"/>
        <v>-938</v>
      </c>
      <c r="AF953" s="15">
        <f t="shared" si="44"/>
        <v>939</v>
      </c>
      <c r="AG953" s="15">
        <f t="shared" si="45"/>
        <v>-1</v>
      </c>
    </row>
    <row r="954" spans="31:33" x14ac:dyDescent="0.2">
      <c r="AE954" s="99">
        <f t="shared" si="46"/>
        <v>-939</v>
      </c>
      <c r="AF954" s="15">
        <f t="shared" si="44"/>
        <v>940</v>
      </c>
      <c r="AG954" s="15">
        <f t="shared" si="45"/>
        <v>-1</v>
      </c>
    </row>
    <row r="955" spans="31:33" x14ac:dyDescent="0.2">
      <c r="AE955" s="99">
        <f t="shared" si="46"/>
        <v>-940</v>
      </c>
      <c r="AF955" s="15">
        <f t="shared" si="44"/>
        <v>941</v>
      </c>
      <c r="AG955" s="15">
        <f t="shared" si="45"/>
        <v>-1</v>
      </c>
    </row>
    <row r="956" spans="31:33" x14ac:dyDescent="0.2">
      <c r="AE956" s="99">
        <f t="shared" si="46"/>
        <v>-941</v>
      </c>
      <c r="AF956" s="15">
        <f t="shared" si="44"/>
        <v>942</v>
      </c>
      <c r="AG956" s="15">
        <f t="shared" si="45"/>
        <v>-1</v>
      </c>
    </row>
    <row r="957" spans="31:33" x14ac:dyDescent="0.2">
      <c r="AE957" s="99">
        <f t="shared" si="46"/>
        <v>-942</v>
      </c>
      <c r="AF957" s="15">
        <f t="shared" si="44"/>
        <v>943</v>
      </c>
      <c r="AG957" s="15">
        <f t="shared" si="45"/>
        <v>-1</v>
      </c>
    </row>
    <row r="958" spans="31:33" x14ac:dyDescent="0.2">
      <c r="AE958" s="99">
        <f t="shared" si="46"/>
        <v>-943</v>
      </c>
      <c r="AF958" s="15">
        <f t="shared" si="44"/>
        <v>944</v>
      </c>
      <c r="AG958" s="15">
        <f t="shared" si="45"/>
        <v>-1</v>
      </c>
    </row>
    <row r="959" spans="31:33" x14ac:dyDescent="0.2">
      <c r="AE959" s="99">
        <f t="shared" si="46"/>
        <v>-944</v>
      </c>
      <c r="AF959" s="15">
        <f t="shared" si="44"/>
        <v>945</v>
      </c>
      <c r="AG959" s="15">
        <f t="shared" si="45"/>
        <v>-1</v>
      </c>
    </row>
    <row r="960" spans="31:33" x14ac:dyDescent="0.2">
      <c r="AE960" s="99">
        <f t="shared" si="46"/>
        <v>-945</v>
      </c>
      <c r="AF960" s="15">
        <f t="shared" si="44"/>
        <v>946</v>
      </c>
      <c r="AG960" s="15">
        <f t="shared" si="45"/>
        <v>-1</v>
      </c>
    </row>
    <row r="961" spans="31:33" x14ac:dyDescent="0.2">
      <c r="AE961" s="99">
        <f t="shared" si="46"/>
        <v>-946</v>
      </c>
      <c r="AF961" s="15">
        <f t="shared" si="44"/>
        <v>947</v>
      </c>
      <c r="AG961" s="15">
        <f t="shared" si="45"/>
        <v>-1</v>
      </c>
    </row>
    <row r="962" spans="31:33" x14ac:dyDescent="0.2">
      <c r="AE962" s="99">
        <f t="shared" si="46"/>
        <v>-947</v>
      </c>
      <c r="AF962" s="15">
        <f t="shared" si="44"/>
        <v>948</v>
      </c>
      <c r="AG962" s="15">
        <f t="shared" si="45"/>
        <v>-1</v>
      </c>
    </row>
    <row r="963" spans="31:33" x14ac:dyDescent="0.2">
      <c r="AE963" s="99">
        <f t="shared" si="46"/>
        <v>-948</v>
      </c>
      <c r="AF963" s="15">
        <f t="shared" si="44"/>
        <v>949</v>
      </c>
      <c r="AG963" s="15">
        <f t="shared" si="45"/>
        <v>-1</v>
      </c>
    </row>
    <row r="964" spans="31:33" x14ac:dyDescent="0.2">
      <c r="AE964" s="99">
        <f t="shared" si="46"/>
        <v>-949</v>
      </c>
      <c r="AF964" s="15">
        <f t="shared" ref="AF964:AF1001" si="47">IF(AF963&gt;=1,AF963+1,IF(AE964=0,1,-1))</f>
        <v>950</v>
      </c>
      <c r="AG964" s="15">
        <f t="shared" ref="AG964:AG1001" si="48">IF(AND(AG963&gt;=1,AG963&lt;$AB$3),AG963+1,IF(AE964=0,1,-1))</f>
        <v>-1</v>
      </c>
    </row>
    <row r="965" spans="31:33" x14ac:dyDescent="0.2">
      <c r="AE965" s="99">
        <f t="shared" ref="AE965:AE1003" si="49">AE964-1</f>
        <v>-950</v>
      </c>
      <c r="AF965" s="15">
        <f t="shared" si="47"/>
        <v>951</v>
      </c>
      <c r="AG965" s="15">
        <f t="shared" si="48"/>
        <v>-1</v>
      </c>
    </row>
    <row r="966" spans="31:33" x14ac:dyDescent="0.2">
      <c r="AE966" s="99">
        <f t="shared" si="49"/>
        <v>-951</v>
      </c>
      <c r="AF966" s="15">
        <f t="shared" si="47"/>
        <v>952</v>
      </c>
      <c r="AG966" s="15">
        <f t="shared" si="48"/>
        <v>-1</v>
      </c>
    </row>
    <row r="967" spans="31:33" x14ac:dyDescent="0.2">
      <c r="AE967" s="99">
        <f t="shared" si="49"/>
        <v>-952</v>
      </c>
      <c r="AF967" s="15">
        <f t="shared" si="47"/>
        <v>953</v>
      </c>
      <c r="AG967" s="15">
        <f t="shared" si="48"/>
        <v>-1</v>
      </c>
    </row>
    <row r="968" spans="31:33" x14ac:dyDescent="0.2">
      <c r="AE968" s="99">
        <f t="shared" si="49"/>
        <v>-953</v>
      </c>
      <c r="AF968" s="15">
        <f t="shared" si="47"/>
        <v>954</v>
      </c>
      <c r="AG968" s="15">
        <f t="shared" si="48"/>
        <v>-1</v>
      </c>
    </row>
    <row r="969" spans="31:33" x14ac:dyDescent="0.2">
      <c r="AE969" s="99">
        <f t="shared" si="49"/>
        <v>-954</v>
      </c>
      <c r="AF969" s="15">
        <f t="shared" si="47"/>
        <v>955</v>
      </c>
      <c r="AG969" s="15">
        <f t="shared" si="48"/>
        <v>-1</v>
      </c>
    </row>
    <row r="970" spans="31:33" x14ac:dyDescent="0.2">
      <c r="AE970" s="99">
        <f t="shared" si="49"/>
        <v>-955</v>
      </c>
      <c r="AF970" s="15">
        <f t="shared" si="47"/>
        <v>956</v>
      </c>
      <c r="AG970" s="15">
        <f t="shared" si="48"/>
        <v>-1</v>
      </c>
    </row>
    <row r="971" spans="31:33" x14ac:dyDescent="0.2">
      <c r="AE971" s="99">
        <f t="shared" si="49"/>
        <v>-956</v>
      </c>
      <c r="AF971" s="15">
        <f t="shared" si="47"/>
        <v>957</v>
      </c>
      <c r="AG971" s="15">
        <f t="shared" si="48"/>
        <v>-1</v>
      </c>
    </row>
    <row r="972" spans="31:33" x14ac:dyDescent="0.2">
      <c r="AE972" s="99">
        <f t="shared" si="49"/>
        <v>-957</v>
      </c>
      <c r="AF972" s="15">
        <f t="shared" si="47"/>
        <v>958</v>
      </c>
      <c r="AG972" s="15">
        <f t="shared" si="48"/>
        <v>-1</v>
      </c>
    </row>
    <row r="973" spans="31:33" x14ac:dyDescent="0.2">
      <c r="AE973" s="99">
        <f t="shared" si="49"/>
        <v>-958</v>
      </c>
      <c r="AF973" s="15">
        <f t="shared" si="47"/>
        <v>959</v>
      </c>
      <c r="AG973" s="15">
        <f t="shared" si="48"/>
        <v>-1</v>
      </c>
    </row>
    <row r="974" spans="31:33" x14ac:dyDescent="0.2">
      <c r="AE974" s="99">
        <f t="shared" si="49"/>
        <v>-959</v>
      </c>
      <c r="AF974" s="15">
        <f t="shared" si="47"/>
        <v>960</v>
      </c>
      <c r="AG974" s="15">
        <f t="shared" si="48"/>
        <v>-1</v>
      </c>
    </row>
    <row r="975" spans="31:33" x14ac:dyDescent="0.2">
      <c r="AE975" s="99">
        <f t="shared" si="49"/>
        <v>-960</v>
      </c>
      <c r="AF975" s="15">
        <f t="shared" si="47"/>
        <v>961</v>
      </c>
      <c r="AG975" s="15">
        <f t="shared" si="48"/>
        <v>-1</v>
      </c>
    </row>
    <row r="976" spans="31:33" x14ac:dyDescent="0.2">
      <c r="AE976" s="99">
        <f t="shared" si="49"/>
        <v>-961</v>
      </c>
      <c r="AF976" s="15">
        <f t="shared" si="47"/>
        <v>962</v>
      </c>
      <c r="AG976" s="15">
        <f t="shared" si="48"/>
        <v>-1</v>
      </c>
    </row>
    <row r="977" spans="31:33" x14ac:dyDescent="0.2">
      <c r="AE977" s="99">
        <f t="shared" si="49"/>
        <v>-962</v>
      </c>
      <c r="AF977" s="15">
        <f t="shared" si="47"/>
        <v>963</v>
      </c>
      <c r="AG977" s="15">
        <f t="shared" si="48"/>
        <v>-1</v>
      </c>
    </row>
    <row r="978" spans="31:33" x14ac:dyDescent="0.2">
      <c r="AE978" s="99">
        <f t="shared" si="49"/>
        <v>-963</v>
      </c>
      <c r="AF978" s="15">
        <f t="shared" si="47"/>
        <v>964</v>
      </c>
      <c r="AG978" s="15">
        <f t="shared" si="48"/>
        <v>-1</v>
      </c>
    </row>
    <row r="979" spans="31:33" x14ac:dyDescent="0.2">
      <c r="AE979" s="99">
        <f t="shared" si="49"/>
        <v>-964</v>
      </c>
      <c r="AF979" s="15">
        <f t="shared" si="47"/>
        <v>965</v>
      </c>
      <c r="AG979" s="15">
        <f t="shared" si="48"/>
        <v>-1</v>
      </c>
    </row>
    <row r="980" spans="31:33" x14ac:dyDescent="0.2">
      <c r="AE980" s="99">
        <f t="shared" si="49"/>
        <v>-965</v>
      </c>
      <c r="AF980" s="15">
        <f t="shared" si="47"/>
        <v>966</v>
      </c>
      <c r="AG980" s="15">
        <f t="shared" si="48"/>
        <v>-1</v>
      </c>
    </row>
    <row r="981" spans="31:33" x14ac:dyDescent="0.2">
      <c r="AE981" s="99">
        <f t="shared" si="49"/>
        <v>-966</v>
      </c>
      <c r="AF981" s="15">
        <f t="shared" si="47"/>
        <v>967</v>
      </c>
      <c r="AG981" s="15">
        <f t="shared" si="48"/>
        <v>-1</v>
      </c>
    </row>
    <row r="982" spans="31:33" x14ac:dyDescent="0.2">
      <c r="AE982" s="99">
        <f t="shared" si="49"/>
        <v>-967</v>
      </c>
      <c r="AF982" s="15">
        <f t="shared" si="47"/>
        <v>968</v>
      </c>
      <c r="AG982" s="15">
        <f t="shared" si="48"/>
        <v>-1</v>
      </c>
    </row>
    <row r="983" spans="31:33" x14ac:dyDescent="0.2">
      <c r="AE983" s="99">
        <f t="shared" si="49"/>
        <v>-968</v>
      </c>
      <c r="AF983" s="15">
        <f t="shared" si="47"/>
        <v>969</v>
      </c>
      <c r="AG983" s="15">
        <f t="shared" si="48"/>
        <v>-1</v>
      </c>
    </row>
    <row r="984" spans="31:33" x14ac:dyDescent="0.2">
      <c r="AE984" s="99">
        <f t="shared" si="49"/>
        <v>-969</v>
      </c>
      <c r="AF984" s="15">
        <f t="shared" si="47"/>
        <v>970</v>
      </c>
      <c r="AG984" s="15">
        <f t="shared" si="48"/>
        <v>-1</v>
      </c>
    </row>
    <row r="985" spans="31:33" x14ac:dyDescent="0.2">
      <c r="AE985" s="99">
        <f t="shared" si="49"/>
        <v>-970</v>
      </c>
      <c r="AF985" s="15">
        <f t="shared" si="47"/>
        <v>971</v>
      </c>
      <c r="AG985" s="15">
        <f t="shared" si="48"/>
        <v>-1</v>
      </c>
    </row>
    <row r="986" spans="31:33" x14ac:dyDescent="0.2">
      <c r="AE986" s="99">
        <f t="shared" si="49"/>
        <v>-971</v>
      </c>
      <c r="AF986" s="15">
        <f t="shared" si="47"/>
        <v>972</v>
      </c>
      <c r="AG986" s="15">
        <f t="shared" si="48"/>
        <v>-1</v>
      </c>
    </row>
    <row r="987" spans="31:33" x14ac:dyDescent="0.2">
      <c r="AE987" s="99">
        <f t="shared" si="49"/>
        <v>-972</v>
      </c>
      <c r="AF987" s="15">
        <f t="shared" si="47"/>
        <v>973</v>
      </c>
      <c r="AG987" s="15">
        <f t="shared" si="48"/>
        <v>-1</v>
      </c>
    </row>
    <row r="988" spans="31:33" x14ac:dyDescent="0.2">
      <c r="AE988" s="99">
        <f t="shared" si="49"/>
        <v>-973</v>
      </c>
      <c r="AF988" s="15">
        <f t="shared" si="47"/>
        <v>974</v>
      </c>
      <c r="AG988" s="15">
        <f t="shared" si="48"/>
        <v>-1</v>
      </c>
    </row>
    <row r="989" spans="31:33" x14ac:dyDescent="0.2">
      <c r="AE989" s="99">
        <f t="shared" si="49"/>
        <v>-974</v>
      </c>
      <c r="AF989" s="15">
        <f t="shared" si="47"/>
        <v>975</v>
      </c>
      <c r="AG989" s="15">
        <f t="shared" si="48"/>
        <v>-1</v>
      </c>
    </row>
    <row r="990" spans="31:33" x14ac:dyDescent="0.2">
      <c r="AE990" s="99">
        <f t="shared" si="49"/>
        <v>-975</v>
      </c>
      <c r="AF990" s="15">
        <f t="shared" si="47"/>
        <v>976</v>
      </c>
      <c r="AG990" s="15">
        <f t="shared" si="48"/>
        <v>-1</v>
      </c>
    </row>
    <row r="991" spans="31:33" x14ac:dyDescent="0.2">
      <c r="AE991" s="99">
        <f t="shared" si="49"/>
        <v>-976</v>
      </c>
      <c r="AF991" s="15">
        <f t="shared" si="47"/>
        <v>977</v>
      </c>
      <c r="AG991" s="15">
        <f t="shared" si="48"/>
        <v>-1</v>
      </c>
    </row>
    <row r="992" spans="31:33" x14ac:dyDescent="0.2">
      <c r="AE992" s="99">
        <f t="shared" si="49"/>
        <v>-977</v>
      </c>
      <c r="AF992" s="15">
        <f t="shared" si="47"/>
        <v>978</v>
      </c>
      <c r="AG992" s="15">
        <f t="shared" si="48"/>
        <v>-1</v>
      </c>
    </row>
    <row r="993" spans="31:33" x14ac:dyDescent="0.2">
      <c r="AE993" s="99">
        <f t="shared" si="49"/>
        <v>-978</v>
      </c>
      <c r="AF993" s="15">
        <f t="shared" si="47"/>
        <v>979</v>
      </c>
      <c r="AG993" s="15">
        <f t="shared" si="48"/>
        <v>-1</v>
      </c>
    </row>
    <row r="994" spans="31:33" x14ac:dyDescent="0.2">
      <c r="AE994" s="99">
        <f t="shared" si="49"/>
        <v>-979</v>
      </c>
      <c r="AF994" s="15">
        <f t="shared" si="47"/>
        <v>980</v>
      </c>
      <c r="AG994" s="15">
        <f t="shared" si="48"/>
        <v>-1</v>
      </c>
    </row>
    <row r="995" spans="31:33" x14ac:dyDescent="0.2">
      <c r="AE995" s="99">
        <f t="shared" si="49"/>
        <v>-980</v>
      </c>
      <c r="AF995" s="15">
        <f t="shared" si="47"/>
        <v>981</v>
      </c>
      <c r="AG995" s="15">
        <f t="shared" si="48"/>
        <v>-1</v>
      </c>
    </row>
    <row r="996" spans="31:33" x14ac:dyDescent="0.2">
      <c r="AE996" s="99">
        <f t="shared" si="49"/>
        <v>-981</v>
      </c>
      <c r="AF996" s="15">
        <f t="shared" si="47"/>
        <v>982</v>
      </c>
      <c r="AG996" s="15">
        <f t="shared" si="48"/>
        <v>-1</v>
      </c>
    </row>
    <row r="997" spans="31:33" x14ac:dyDescent="0.2">
      <c r="AE997" s="99">
        <f t="shared" si="49"/>
        <v>-982</v>
      </c>
      <c r="AF997" s="15">
        <f t="shared" si="47"/>
        <v>983</v>
      </c>
      <c r="AG997" s="15">
        <f t="shared" si="48"/>
        <v>-1</v>
      </c>
    </row>
    <row r="998" spans="31:33" x14ac:dyDescent="0.2">
      <c r="AE998" s="99">
        <f t="shared" si="49"/>
        <v>-983</v>
      </c>
      <c r="AF998" s="15">
        <f t="shared" si="47"/>
        <v>984</v>
      </c>
      <c r="AG998" s="15">
        <f t="shared" si="48"/>
        <v>-1</v>
      </c>
    </row>
    <row r="999" spans="31:33" x14ac:dyDescent="0.2">
      <c r="AE999" s="99">
        <f t="shared" si="49"/>
        <v>-984</v>
      </c>
      <c r="AF999" s="15">
        <f t="shared" si="47"/>
        <v>985</v>
      </c>
      <c r="AG999" s="15">
        <f t="shared" si="48"/>
        <v>-1</v>
      </c>
    </row>
    <row r="1000" spans="31:33" x14ac:dyDescent="0.2">
      <c r="AE1000" s="99">
        <f t="shared" si="49"/>
        <v>-985</v>
      </c>
      <c r="AF1000" s="15">
        <f t="shared" si="47"/>
        <v>986</v>
      </c>
      <c r="AG1000" s="15">
        <f t="shared" si="48"/>
        <v>-1</v>
      </c>
    </row>
    <row r="1001" spans="31:33" x14ac:dyDescent="0.2">
      <c r="AE1001" s="99">
        <f t="shared" si="49"/>
        <v>-986</v>
      </c>
      <c r="AF1001" s="15">
        <f t="shared" si="47"/>
        <v>987</v>
      </c>
      <c r="AG1001" s="15">
        <f t="shared" si="48"/>
        <v>-1</v>
      </c>
    </row>
    <row r="1002" spans="31:33" x14ac:dyDescent="0.2">
      <c r="AE1002" s="99">
        <f t="shared" si="49"/>
        <v>-987</v>
      </c>
      <c r="AF1002" s="15">
        <f t="shared" ref="AF1002:AF1003" si="50">IF(AF1001&gt;=1,AF1001+1,IF(AE1002=0,1,-1))</f>
        <v>988</v>
      </c>
      <c r="AG1002" s="15">
        <f t="shared" ref="AG1002:AG1003" si="51">IF(AND(AG1001&gt;=1,AG1001&lt;$AB$3),AG1001+1,IF(AE1002=0,1,-1))</f>
        <v>-1</v>
      </c>
    </row>
    <row r="1003" spans="31:33" x14ac:dyDescent="0.2">
      <c r="AE1003" s="99">
        <f t="shared" si="49"/>
        <v>-988</v>
      </c>
      <c r="AF1003" s="15">
        <f t="shared" si="50"/>
        <v>989</v>
      </c>
      <c r="AG1003" s="15">
        <f t="shared" si="51"/>
        <v>-1</v>
      </c>
    </row>
  </sheetData>
  <phoneticPr fontId="36" type="noConversion"/>
  <pageMargins left="0.7" right="0.7" top="0.75" bottom="0.75" header="0.3" footer="0.3"/>
  <pageSetup orientation="portrait" r:id="rId1"/>
  <legacyDrawing r:id="rId2"/>
  <tableParts count="6">
    <tablePart r:id="rId3"/>
    <tablePart r:id="rId4"/>
    <tablePart r:id="rId5"/>
    <tablePart r:id="rId6"/>
    <tablePart r:id="rId7"/>
    <tablePart r:id="rId8"/>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550C9-FFEF-4EB0-A7AB-9E4678619461}">
  <sheetPr codeName="Sheet5">
    <tabColor rgb="FFCCFFCC"/>
  </sheetPr>
  <dimension ref="A2:W1002"/>
  <sheetViews>
    <sheetView showGridLines="0" zoomScale="90" zoomScaleNormal="90" workbookViewId="0">
      <selection activeCell="D2" sqref="D2:F2"/>
    </sheetView>
  </sheetViews>
  <sheetFormatPr defaultRowHeight="12.75" x14ac:dyDescent="0.2"/>
  <cols>
    <col min="1" max="1" width="7.28515625" customWidth="1"/>
    <col min="2" max="2" width="11.85546875" customWidth="1"/>
    <col min="3" max="3" width="12.42578125" bestFit="1" customWidth="1"/>
    <col min="4" max="4" width="17.5703125" style="2" customWidth="1"/>
    <col min="5" max="5" width="14.85546875" style="2" customWidth="1"/>
    <col min="6" max="6" width="13.5703125" style="2" customWidth="1"/>
    <col min="7" max="7" width="15" style="2" customWidth="1"/>
    <col min="8" max="8" width="15.42578125" style="2" customWidth="1"/>
    <col min="9" max="9" width="21.140625" style="2" customWidth="1"/>
    <col min="10" max="10" width="15" style="2" customWidth="1"/>
    <col min="11" max="11" width="24.140625" style="2" customWidth="1"/>
    <col min="12" max="13" width="28.7109375" style="2" customWidth="1"/>
    <col min="14" max="14" width="13.28515625" style="2" customWidth="1"/>
    <col min="15" max="15" width="17.7109375" style="2" customWidth="1"/>
    <col min="16" max="16" width="11.5703125" style="2" customWidth="1"/>
    <col min="17" max="18" width="19.5703125" style="2" customWidth="1"/>
    <col min="19" max="19" width="15" style="2" customWidth="1"/>
    <col min="20" max="20" width="15.7109375" style="2" customWidth="1"/>
    <col min="21" max="21" width="12.85546875" style="2" customWidth="1"/>
    <col min="22" max="22" width="14.42578125" style="2" customWidth="1"/>
    <col min="23" max="23" width="8.85546875" style="2" customWidth="1"/>
    <col min="24" max="24" width="8.5703125" customWidth="1"/>
  </cols>
  <sheetData>
    <row r="2" spans="1:23" ht="16.5" thickBot="1" x14ac:dyDescent="0.3">
      <c r="C2" s="1" t="s">
        <v>0</v>
      </c>
      <c r="D2" s="270"/>
      <c r="E2" s="270"/>
      <c r="F2" s="270"/>
      <c r="G2" s="270"/>
    </row>
    <row r="3" spans="1:23" x14ac:dyDescent="0.2">
      <c r="C3" s="32"/>
      <c r="D3" s="35"/>
      <c r="E3" s="39"/>
      <c r="F3" s="40"/>
      <c r="G3" s="40"/>
      <c r="H3" s="40"/>
      <c r="I3" s="40"/>
      <c r="J3" s="35"/>
      <c r="K3" s="35"/>
      <c r="L3" s="40"/>
      <c r="M3" s="40"/>
      <c r="N3" s="40"/>
      <c r="O3" s="40"/>
      <c r="P3" s="35"/>
      <c r="Q3" s="35"/>
      <c r="R3" s="35"/>
      <c r="S3" s="35"/>
      <c r="T3" s="35"/>
      <c r="U3" s="35"/>
      <c r="V3" s="35"/>
      <c r="W3" s="35"/>
    </row>
    <row r="4" spans="1:23" x14ac:dyDescent="0.2">
      <c r="C4" s="38" t="s">
        <v>51</v>
      </c>
      <c r="D4" s="35"/>
      <c r="E4" s="5">
        <f>IF('Metric Data'!B2,'Cumulative Volumes Metric'!F6,'Cumulative Volumes Metric'!F7)</f>
        <v>100</v>
      </c>
      <c r="F4" s="35"/>
      <c r="G4" s="271"/>
      <c r="H4" s="273"/>
      <c r="I4" s="7"/>
      <c r="J4" s="7"/>
      <c r="K4" s="8"/>
      <c r="L4" s="35"/>
      <c r="M4" s="35"/>
      <c r="N4" s="35"/>
      <c r="O4" s="35"/>
      <c r="P4" s="35"/>
      <c r="Q4" s="35"/>
      <c r="R4" s="35"/>
      <c r="S4" s="35"/>
      <c r="T4" s="35"/>
      <c r="U4" s="35"/>
      <c r="V4" s="35"/>
      <c r="W4" s="35"/>
    </row>
    <row r="5" spans="1:23" x14ac:dyDescent="0.2">
      <c r="C5" s="38" t="s">
        <v>58</v>
      </c>
      <c r="D5" s="35"/>
      <c r="E5" s="5">
        <f>IF('Metric Data'!B2,'Cumulative Volumes Metric'!F7,0)</f>
        <v>10</v>
      </c>
      <c r="F5" s="35"/>
      <c r="G5" s="272"/>
      <c r="H5" s="273"/>
      <c r="I5" s="7"/>
      <c r="J5" s="7"/>
      <c r="K5" s="8"/>
      <c r="L5" s="35"/>
      <c r="M5" s="35"/>
      <c r="N5" s="35"/>
      <c r="O5" s="35"/>
      <c r="P5" s="35"/>
      <c r="Q5" s="35"/>
      <c r="R5" s="35"/>
      <c r="S5" s="35"/>
      <c r="T5" s="35"/>
      <c r="U5" s="35"/>
      <c r="V5" s="35"/>
      <c r="W5" s="35"/>
    </row>
    <row r="6" spans="1:23" x14ac:dyDescent="0.2">
      <c r="C6" s="113" t="s">
        <v>14</v>
      </c>
      <c r="D6" s="35"/>
      <c r="E6" s="54">
        <f>'Cumulative Volumes Metric'!F8</f>
        <v>40</v>
      </c>
      <c r="F6" s="41">
        <f>E6/100</f>
        <v>0.4</v>
      </c>
      <c r="G6" s="30"/>
      <c r="H6" s="30"/>
      <c r="I6" s="35"/>
      <c r="J6" s="35"/>
      <c r="K6" s="35"/>
      <c r="L6" s="35"/>
      <c r="M6" s="35"/>
      <c r="N6" s="35" t="s">
        <v>85</v>
      </c>
      <c r="O6" s="35"/>
      <c r="P6" s="35"/>
      <c r="Q6" s="82" t="s">
        <v>86</v>
      </c>
      <c r="R6" s="35"/>
      <c r="S6" s="35"/>
      <c r="T6" s="35"/>
      <c r="U6" s="35"/>
      <c r="V6" s="35"/>
      <c r="W6" s="35"/>
    </row>
    <row r="7" spans="1:23" x14ac:dyDescent="0.2">
      <c r="C7" s="32" t="s">
        <v>52</v>
      </c>
      <c r="D7" s="32"/>
      <c r="E7" s="14">
        <f>'Cumulative Volumes Metric'!F9</f>
        <v>100</v>
      </c>
      <c r="F7" s="38" t="s">
        <v>41</v>
      </c>
      <c r="G7" s="35"/>
      <c r="H7" s="38"/>
      <c r="I7" s="35"/>
      <c r="J7" s="35"/>
      <c r="K7" s="35"/>
      <c r="L7" s="35"/>
      <c r="M7" s="35"/>
      <c r="N7" s="35" t="s">
        <v>87</v>
      </c>
      <c r="O7" s="35"/>
      <c r="P7" s="35"/>
      <c r="Q7" s="35"/>
      <c r="R7" s="35"/>
      <c r="S7" s="35"/>
      <c r="T7" s="35"/>
      <c r="U7" s="35"/>
      <c r="V7" s="35"/>
      <c r="W7" s="35"/>
    </row>
    <row r="8" spans="1:23" x14ac:dyDescent="0.2">
      <c r="C8" s="32" t="s">
        <v>53</v>
      </c>
      <c r="D8" s="32"/>
      <c r="E8" s="54">
        <f>'Cumulative Volumes Metric'!F10</f>
        <v>305</v>
      </c>
      <c r="F8" s="38" t="s">
        <v>42</v>
      </c>
      <c r="G8" s="35"/>
      <c r="H8" s="38"/>
      <c r="I8" s="35"/>
      <c r="J8" s="35"/>
      <c r="K8" s="35"/>
      <c r="L8" s="35"/>
      <c r="M8" s="35"/>
      <c r="N8" s="35"/>
      <c r="O8" s="35"/>
      <c r="P8" s="35"/>
      <c r="Q8" s="35"/>
      <c r="R8" s="35"/>
      <c r="S8" s="35"/>
      <c r="T8" s="35"/>
      <c r="U8" s="35"/>
      <c r="V8" s="35"/>
      <c r="W8" s="35"/>
    </row>
    <row r="9" spans="1:23" x14ac:dyDescent="0.2">
      <c r="C9" s="32" t="s">
        <v>54</v>
      </c>
      <c r="D9" s="35"/>
      <c r="E9" s="54">
        <f>'Cumulative Volumes Metric'!F11</f>
        <v>229</v>
      </c>
      <c r="F9" s="38" t="s">
        <v>42</v>
      </c>
      <c r="G9" s="35"/>
      <c r="H9" s="35"/>
      <c r="I9" s="35"/>
      <c r="J9" s="35"/>
      <c r="K9" s="35"/>
      <c r="L9" s="35"/>
      <c r="M9" s="35"/>
      <c r="N9" s="35"/>
      <c r="O9" s="30"/>
      <c r="P9" s="35" t="s">
        <v>88</v>
      </c>
      <c r="Q9" s="35">
        <v>79.146000000000001</v>
      </c>
      <c r="R9" s="35" t="s">
        <v>89</v>
      </c>
      <c r="S9" s="35">
        <v>44.8</v>
      </c>
      <c r="T9" s="35"/>
      <c r="U9" s="35" t="s">
        <v>90</v>
      </c>
      <c r="V9" s="35" t="s">
        <v>90</v>
      </c>
      <c r="W9" s="35"/>
    </row>
    <row r="10" spans="1:23" x14ac:dyDescent="0.2">
      <c r="A10" s="32"/>
      <c r="B10" s="32"/>
      <c r="C10" s="32"/>
      <c r="D10" s="35"/>
      <c r="E10" s="42">
        <f>'Cumulative Volumes Metric'!F13</f>
        <v>590</v>
      </c>
      <c r="F10" s="38"/>
      <c r="H10" s="38"/>
      <c r="I10" s="35"/>
      <c r="J10" s="35"/>
      <c r="K10" s="35"/>
      <c r="L10" s="35"/>
      <c r="M10" s="35"/>
      <c r="N10" s="35"/>
      <c r="O10" s="35"/>
      <c r="P10" s="35"/>
      <c r="Q10" s="35"/>
      <c r="R10" s="35"/>
      <c r="S10" s="35"/>
      <c r="T10" s="35"/>
      <c r="U10" s="35"/>
      <c r="V10" s="35"/>
      <c r="W10" s="35"/>
    </row>
    <row r="11" spans="1:23" ht="33" customHeight="1" x14ac:dyDescent="0.2">
      <c r="A11" s="43"/>
      <c r="B11" s="43"/>
      <c r="C11" s="126"/>
      <c r="E11" s="45"/>
      <c r="F11" s="46"/>
      <c r="G11" s="46"/>
      <c r="H11" s="44"/>
      <c r="I11" s="44"/>
      <c r="J11" s="43"/>
      <c r="K11" s="123"/>
      <c r="L11" s="44"/>
      <c r="M11" s="44"/>
      <c r="N11" s="44" t="s">
        <v>91</v>
      </c>
      <c r="O11" s="76"/>
      <c r="P11" s="77">
        <v>1</v>
      </c>
      <c r="Q11" s="79" t="s">
        <v>92</v>
      </c>
      <c r="R11" s="79"/>
      <c r="S11" s="79" t="s">
        <v>93</v>
      </c>
      <c r="T11" s="43"/>
      <c r="U11" s="78">
        <v>2</v>
      </c>
      <c r="V11" s="78"/>
      <c r="W11" s="29"/>
    </row>
    <row r="12" spans="1:23" ht="24" thickBot="1" x14ac:dyDescent="0.4">
      <c r="A12" s="47"/>
      <c r="B12" s="48"/>
      <c r="C12" s="47"/>
      <c r="D12" s="47"/>
      <c r="E12" s="47"/>
      <c r="F12" s="47"/>
      <c r="G12" s="47"/>
      <c r="H12" s="47"/>
      <c r="I12" s="47"/>
      <c r="J12" s="47"/>
      <c r="K12" s="47"/>
      <c r="L12" s="47"/>
      <c r="M12" s="47"/>
      <c r="N12" s="47"/>
      <c r="O12" s="47"/>
      <c r="P12" s="47"/>
      <c r="Q12" s="47"/>
      <c r="R12" s="47"/>
      <c r="S12" s="47"/>
      <c r="T12" s="47"/>
      <c r="U12" s="47"/>
      <c r="V12" s="47"/>
      <c r="W12" s="48"/>
    </row>
    <row r="13" spans="1:23" s="26" customFormat="1" ht="51.75" thickBot="1" x14ac:dyDescent="0.25">
      <c r="A13" s="49" t="s">
        <v>55</v>
      </c>
      <c r="B13" s="102" t="s">
        <v>138</v>
      </c>
      <c r="C13" s="51" t="s">
        <v>82</v>
      </c>
      <c r="D13" s="114" t="s">
        <v>83</v>
      </c>
      <c r="E13" s="119" t="s">
        <v>94</v>
      </c>
      <c r="F13" s="114" t="s">
        <v>95</v>
      </c>
      <c r="G13" s="119" t="s">
        <v>96</v>
      </c>
      <c r="H13" s="119" t="s">
        <v>97</v>
      </c>
      <c r="I13" s="119" t="s">
        <v>97</v>
      </c>
      <c r="J13" s="121" t="s">
        <v>97</v>
      </c>
      <c r="K13" s="121" t="s">
        <v>98</v>
      </c>
      <c r="L13" s="119" t="s">
        <v>119</v>
      </c>
      <c r="M13" s="128" t="s">
        <v>98</v>
      </c>
      <c r="N13" s="81" t="s">
        <v>65</v>
      </c>
      <c r="O13" s="115" t="s">
        <v>66</v>
      </c>
      <c r="P13" s="120" t="s">
        <v>67</v>
      </c>
      <c r="Q13" s="56" t="s">
        <v>68</v>
      </c>
      <c r="R13" s="52" t="s">
        <v>69</v>
      </c>
      <c r="S13" s="83" t="s">
        <v>70</v>
      </c>
      <c r="T13" s="52" t="s">
        <v>71</v>
      </c>
      <c r="U13" s="100" t="s">
        <v>74</v>
      </c>
      <c r="V13" s="100" t="s">
        <v>75</v>
      </c>
      <c r="W13" s="53" t="s">
        <v>84</v>
      </c>
    </row>
    <row r="14" spans="1:23" x14ac:dyDescent="0.2">
      <c r="A14" s="27">
        <f>'Metric Data'!AC13</f>
        <v>81</v>
      </c>
      <c r="B14" s="34">
        <v>1</v>
      </c>
      <c r="C14" s="27">
        <f>A14*25.4</f>
        <v>2057.4</v>
      </c>
      <c r="D14" s="158">
        <f>IF(A14=0,"",IF('Metric Data'!AG3&gt;=1, INDEX(Metric_Incremental[], MATCH('Metric Data'!AG3, Metric_Incremental[Height], 1), MATCH('Cumulative Volumes Metric'!$F$4, Metric_Incremental[#Headers], 0)), 0))</f>
        <v>0</v>
      </c>
      <c r="E14" s="158">
        <f>IF(A14=0,"",IF('Metric Data'!AG3&gt;=1, INDEX(Metric_Incremental[], MATCH('Metric Data'!AG3, Metric_Incremental[Height], 1), MATCH('Cumulative Volumes Metric'!$F$4 &amp; "EC", Metric_Incremental[#Headers], 0)), 0))</f>
        <v>0</v>
      </c>
      <c r="F14" s="156">
        <f>IF(A14=0,"",$E$4*D14)</f>
        <v>0</v>
      </c>
      <c r="G14" s="156">
        <f t="shared" ref="G14:G77" si="0">IF(A14=0,"",$E$5*E14)</f>
        <v>0</v>
      </c>
      <c r="H14" s="28">
        <f>IF(A14=0,"",IF('Cumulative Volumes Metric'!$AR$17=FALSE,J14,I14))</f>
        <v>5.9943999999999997</v>
      </c>
      <c r="I14" s="156">
        <f>IF(A14=0,"",($E$6/100)*($E$10*(25.4/1000)-(F14+G14)))</f>
        <v>5.9943999999999997</v>
      </c>
      <c r="J14" s="28">
        <f t="shared" ref="J14:J77" si="1">IF(A14=0,"",R14+T14)</f>
        <v>5.9748725287679996</v>
      </c>
      <c r="K14" s="28">
        <f>IF(A14=0,"",IF('Cumulative Volumes Metric'!$AR$17=FALSE,M14,L14))</f>
        <v>5.9943999999999997</v>
      </c>
      <c r="L14" s="156">
        <f>IF(A14=0,"",I14+F14+G14)</f>
        <v>5.9943999999999997</v>
      </c>
      <c r="M14" s="28">
        <f t="shared" ref="M14:M77" si="2">IF(A14=0,"",F14+G14+J14)</f>
        <v>5.9748725287679996</v>
      </c>
      <c r="N14" s="28">
        <f>IF(($E$8/25.4)+45+($E$9/25.4)&gt;989,"FALSE",IF(A14="","",IF('Cumulative Volumes Metric'!$AR$17=FALSE,P14,O14)))</f>
        <v>791.12150669120808</v>
      </c>
      <c r="O14" s="156">
        <f>IF(A14=0,"",IF(A14=1,L14,O15+L14))</f>
        <v>791.12150669120808</v>
      </c>
      <c r="P14" s="157">
        <f>IF(A14=0,"",IF('Cumulative Volumes Metric'!$AR$17=FALSE,(U14*$E$4)+(V14*$E$5),O14))</f>
        <v>791.12150669120808</v>
      </c>
      <c r="Q14" s="28">
        <f>IF(A14=0,"",(((25.4/1000)*'Metric Data'!$AC$4*'Metric Data'!$AC$5)-D14)*($E$6/100))</f>
        <v>5.6547410399999998E-2</v>
      </c>
      <c r="R14" s="28">
        <f t="shared" ref="R14:R77" si="3">IF(A14=0,"",Q14*$E$4)</f>
        <v>5.6547410399999993</v>
      </c>
      <c r="S14" s="28">
        <f>IF(A14=0,"",(((25.4/1000)*'Metric Data'!$AC$5*'Metric Data'!$AC$7)-E14)*($E$6/100))</f>
        <v>3.2013148876799992E-2</v>
      </c>
      <c r="T14" s="28">
        <f t="shared" ref="T14:T77" si="4">IF(A14=0,"",S14*$E$5)</f>
        <v>0.32013148876799991</v>
      </c>
      <c r="U14" s="30">
        <f t="shared" ref="U14:U77" si="5">IF(A14=0,"",IF(A14=1,D14+Q14,U15+D14+Q14))</f>
        <v>7.5689061354199705</v>
      </c>
      <c r="V14" s="30">
        <f t="shared" ref="V14:V77" si="6">IF(A14=0,"",IF(A14=1,E14+S14,V15+E14+S14))</f>
        <v>3.2649167979419351</v>
      </c>
      <c r="W14" s="30">
        <f t="shared" ref="W14:W77" si="7">IF(A14=0,"",$E$7+C14/1000)</f>
        <v>102.0574</v>
      </c>
    </row>
    <row r="15" spans="1:23" x14ac:dyDescent="0.2">
      <c r="A15" s="34">
        <f>IF(A14=0,0,IF(A14=" ","",IF(A14-1&gt;0,A14-1,0)))</f>
        <v>80</v>
      </c>
      <c r="B15" s="34">
        <v>2</v>
      </c>
      <c r="C15" s="34">
        <f t="shared" ref="C15:C78" si="8">A15*25.4</f>
        <v>2032</v>
      </c>
      <c r="D15" s="80">
        <f>IF(A15=0,"",IF('Metric Data'!AG4&gt;=1, INDEX(Metric_Incremental[], MATCH('Metric Data'!AG4, Metric_Incremental[Height], 1), MATCH('Cumulative Volumes Metric'!$F$4, Metric_Incremental[#Headers], 0)), 0))</f>
        <v>0</v>
      </c>
      <c r="E15" s="80">
        <f>IF(A15=0,"",IF('Metric Data'!AG4&gt;=1, INDEX(Metric_Incremental[], MATCH('Metric Data'!AG4, Metric_Incremental[Height], 1), MATCH('Cumulative Volumes Metric'!$F$4 &amp; "EC", Metric_Incremental[#Headers], 0)), 0))</f>
        <v>0</v>
      </c>
      <c r="F15" s="30">
        <f t="shared" ref="F15:F78" si="9">IF(A15=0,"",$E$4*D15)</f>
        <v>0</v>
      </c>
      <c r="G15" s="30">
        <f t="shared" si="0"/>
        <v>0</v>
      </c>
      <c r="H15" s="30">
        <f>IF(A15=0,"",IF('Cumulative Volumes Metric'!$AR$17=FALSE,J15,I15))</f>
        <v>5.9943999999999997</v>
      </c>
      <c r="I15" s="30">
        <f t="shared" ref="I15:I77" si="10">IF(A15=0,"",($E$6/100)*($E$10*(25.4/1000)-(F15+G15)))</f>
        <v>5.9943999999999997</v>
      </c>
      <c r="J15" s="30">
        <f t="shared" si="1"/>
        <v>5.9748725287679996</v>
      </c>
      <c r="K15" s="30">
        <f>IF(A15=0,"",IF('Cumulative Volumes Metric'!$AR$17=FALSE,M15,L15))</f>
        <v>5.9943999999999997</v>
      </c>
      <c r="L15" s="30">
        <f t="shared" ref="L15:L77" si="11">IF(A15=0,"",I15+F15+G15)</f>
        <v>5.9943999999999997</v>
      </c>
      <c r="M15" s="30">
        <f t="shared" si="2"/>
        <v>5.9748725287679996</v>
      </c>
      <c r="N15" s="30">
        <f>IF(($E$8/25.4)+45+($E$9/25.4)&gt;989,"FALSE",IF(A15="","",IF('Cumulative Volumes Metric'!$AR$17=FALSE,P15,O15)))</f>
        <v>785.12710669120804</v>
      </c>
      <c r="O15" s="30">
        <f t="shared" ref="O15:O77" si="12">IF(A15=0,"",IF(A15=1,L15,O16+L15))</f>
        <v>785.12710669120804</v>
      </c>
      <c r="P15" s="30">
        <f>IF(A15=0,"",IF('Cumulative Volumes Metric'!$AR$17=FALSE,(U15*$E$4)+(V15*$E$5),O15))</f>
        <v>785.12710669120804</v>
      </c>
      <c r="Q15" s="30">
        <f>IF(A15=0,"",(((25.4/1000)*'Metric Data'!$AC$4*'Metric Data'!$AC$5)-D15)*($E$6/100))</f>
        <v>5.6547410399999998E-2</v>
      </c>
      <c r="R15" s="30">
        <f t="shared" si="3"/>
        <v>5.6547410399999993</v>
      </c>
      <c r="S15" s="30">
        <f>IF(A15=0,"",(((25.4/1000)*'Metric Data'!$AC$5*'Metric Data'!$AC$7)-E15)*($E$6/100))</f>
        <v>3.2013148876799992E-2</v>
      </c>
      <c r="T15" s="30">
        <f t="shared" si="4"/>
        <v>0.32013148876799991</v>
      </c>
      <c r="U15" s="30">
        <f t="shared" si="5"/>
        <v>7.5123587250199702</v>
      </c>
      <c r="V15" s="30">
        <f t="shared" si="6"/>
        <v>3.2329036490651353</v>
      </c>
      <c r="W15" s="30">
        <f t="shared" si="7"/>
        <v>102.032</v>
      </c>
    </row>
    <row r="16" spans="1:23" x14ac:dyDescent="0.2">
      <c r="A16" s="34">
        <f t="shared" ref="A16:A78" si="13">IF(A15=0,0,IF(A15=" ","",IF(A15-1&gt;0,A15-1,0)))</f>
        <v>79</v>
      </c>
      <c r="B16" s="34">
        <v>3</v>
      </c>
      <c r="C16" s="34">
        <f t="shared" si="8"/>
        <v>2006.6</v>
      </c>
      <c r="D16" s="80">
        <f>IF(A16=0,"",IF('Metric Data'!AG5&gt;=1, INDEX(Metric_Incremental[], MATCH('Metric Data'!AG5, Metric_Incremental[Height], 1), MATCH('Cumulative Volumes Metric'!$F$4, Metric_Incremental[#Headers], 0)), 0))</f>
        <v>0</v>
      </c>
      <c r="E16" s="80">
        <f>IF(A16=0,"",IF('Metric Data'!AG5&gt;=1, INDEX(Metric_Incremental[], MATCH('Metric Data'!AG5, Metric_Incremental[Height], 1), MATCH('Cumulative Volumes Metric'!$F$4 &amp; "EC", Metric_Incremental[#Headers], 0)), 0))</f>
        <v>0</v>
      </c>
      <c r="F16" s="30">
        <f t="shared" si="9"/>
        <v>0</v>
      </c>
      <c r="G16" s="30">
        <f t="shared" si="0"/>
        <v>0</v>
      </c>
      <c r="H16" s="30">
        <f>IF(A16=0,"",IF('Cumulative Volumes Metric'!$AR$17=FALSE,J16,I16))</f>
        <v>5.9943999999999997</v>
      </c>
      <c r="I16" s="30">
        <f t="shared" si="10"/>
        <v>5.9943999999999997</v>
      </c>
      <c r="J16" s="30">
        <f t="shared" si="1"/>
        <v>5.9748725287679996</v>
      </c>
      <c r="K16" s="30">
        <f>IF(A16=0,"",IF('Cumulative Volumes Metric'!$AR$17=FALSE,M16,L16))</f>
        <v>5.9943999999999997</v>
      </c>
      <c r="L16" s="30">
        <f t="shared" si="11"/>
        <v>5.9943999999999997</v>
      </c>
      <c r="M16" s="30">
        <f t="shared" si="2"/>
        <v>5.9748725287679996</v>
      </c>
      <c r="N16" s="30">
        <f>IF(($E$8/25.4)+45+($E$9/25.4)&gt;989,"FALSE",IF(A16="","",IF('Cumulative Volumes Metric'!$AR$17=FALSE,P16,O16)))</f>
        <v>779.132706691208</v>
      </c>
      <c r="O16" s="30">
        <f t="shared" si="12"/>
        <v>779.132706691208</v>
      </c>
      <c r="P16" s="30">
        <f>IF(A16=0,"",IF('Cumulative Volumes Metric'!$AR$17=FALSE,(U16*$E$4)+(V16*$E$5),O16))</f>
        <v>779.132706691208</v>
      </c>
      <c r="Q16" s="30">
        <f>IF(A16=0,"",(((25.4/1000)*'Metric Data'!$AC$4*'Metric Data'!$AC$5)-D16)*($E$6/100))</f>
        <v>5.6547410399999998E-2</v>
      </c>
      <c r="R16" s="30">
        <f t="shared" si="3"/>
        <v>5.6547410399999993</v>
      </c>
      <c r="S16" s="30">
        <f>IF(A16=0,"",(((25.4/1000)*'Metric Data'!$AC$5*'Metric Data'!$AC$7)-E16)*($E$6/100))</f>
        <v>3.2013148876799992E-2</v>
      </c>
      <c r="T16" s="30">
        <f t="shared" si="4"/>
        <v>0.32013148876799991</v>
      </c>
      <c r="U16" s="30">
        <f t="shared" si="5"/>
        <v>7.4558113146199698</v>
      </c>
      <c r="V16" s="30">
        <f t="shared" si="6"/>
        <v>3.2008905001883354</v>
      </c>
      <c r="W16" s="30">
        <f t="shared" si="7"/>
        <v>102.00660000000001</v>
      </c>
    </row>
    <row r="17" spans="1:23" x14ac:dyDescent="0.2">
      <c r="A17" s="34">
        <f t="shared" si="13"/>
        <v>78</v>
      </c>
      <c r="B17" s="34">
        <v>4</v>
      </c>
      <c r="C17" s="34">
        <f t="shared" si="8"/>
        <v>1981.1999999999998</v>
      </c>
      <c r="D17" s="80">
        <f>IF(A17=0,"",IF('Metric Data'!AG6&gt;=1, INDEX(Metric_Incremental[], MATCH('Metric Data'!AG6, Metric_Incremental[Height], 1), MATCH('Cumulative Volumes Metric'!$F$4, Metric_Incremental[#Headers], 0)), 0))</f>
        <v>0</v>
      </c>
      <c r="E17" s="80">
        <f>IF(A17=0,"",IF('Metric Data'!AG6&gt;=1, INDEX(Metric_Incremental[], MATCH('Metric Data'!AG6, Metric_Incremental[Height], 1), MATCH('Cumulative Volumes Metric'!$F$4 &amp; "EC", Metric_Incremental[#Headers], 0)), 0))</f>
        <v>0</v>
      </c>
      <c r="F17" s="30">
        <f t="shared" si="9"/>
        <v>0</v>
      </c>
      <c r="G17" s="30">
        <f t="shared" si="0"/>
        <v>0</v>
      </c>
      <c r="H17" s="30">
        <f>IF(A17=0,"",IF('Cumulative Volumes Metric'!$AR$17=FALSE,J17,I17))</f>
        <v>5.9943999999999997</v>
      </c>
      <c r="I17" s="30">
        <f t="shared" si="10"/>
        <v>5.9943999999999997</v>
      </c>
      <c r="J17" s="30">
        <f t="shared" si="1"/>
        <v>5.9748725287679996</v>
      </c>
      <c r="K17" s="30">
        <f>IF(A17=0,"",IF('Cumulative Volumes Metric'!$AR$17=FALSE,M17,L17))</f>
        <v>5.9943999999999997</v>
      </c>
      <c r="L17" s="30">
        <f t="shared" si="11"/>
        <v>5.9943999999999997</v>
      </c>
      <c r="M17" s="30">
        <f t="shared" si="2"/>
        <v>5.9748725287679996</v>
      </c>
      <c r="N17" s="30">
        <f>IF(($E$8/25.4)+45+($E$9/25.4)&gt;989,"FALSE",IF(A17="","",IF('Cumulative Volumes Metric'!$AR$17=FALSE,P17,O17)))</f>
        <v>773.13830669120796</v>
      </c>
      <c r="O17" s="30">
        <f t="shared" si="12"/>
        <v>773.13830669120796</v>
      </c>
      <c r="P17" s="30">
        <f>IF(A17=0,"",IF('Cumulative Volumes Metric'!$AR$17=FALSE,(U17*$E$4)+(V17*$E$5),O17))</f>
        <v>773.13830669120796</v>
      </c>
      <c r="Q17" s="30">
        <f>IF(A17=0,"",(((25.4/1000)*'Metric Data'!$AC$4*'Metric Data'!$AC$5)-D17)*($E$6/100))</f>
        <v>5.6547410399999998E-2</v>
      </c>
      <c r="R17" s="30">
        <f t="shared" si="3"/>
        <v>5.6547410399999993</v>
      </c>
      <c r="S17" s="30">
        <f>IF(A17=0,"",(((25.4/1000)*'Metric Data'!$AC$5*'Metric Data'!$AC$7)-E17)*($E$6/100))</f>
        <v>3.2013148876799992E-2</v>
      </c>
      <c r="T17" s="30">
        <f t="shared" si="4"/>
        <v>0.32013148876799991</v>
      </c>
      <c r="U17" s="30">
        <f t="shared" si="5"/>
        <v>7.3992639042199695</v>
      </c>
      <c r="V17" s="30">
        <f t="shared" si="6"/>
        <v>3.1688773513115356</v>
      </c>
      <c r="W17" s="30">
        <f t="shared" si="7"/>
        <v>101.9812</v>
      </c>
    </row>
    <row r="18" spans="1:23" x14ac:dyDescent="0.2">
      <c r="A18" s="34">
        <f t="shared" si="13"/>
        <v>77</v>
      </c>
      <c r="B18" s="34">
        <v>5</v>
      </c>
      <c r="C18" s="34">
        <f t="shared" si="8"/>
        <v>1955.8</v>
      </c>
      <c r="D18" s="80">
        <f>IF(A18=0,"",IF('Metric Data'!AG7&gt;=1, INDEX(Metric_Incremental[], MATCH('Metric Data'!AG7, Metric_Incremental[Height], 1), MATCH('Cumulative Volumes Metric'!$F$4, Metric_Incremental[#Headers], 0)), 0))</f>
        <v>0</v>
      </c>
      <c r="E18" s="80">
        <f>IF(A18=0,"",IF('Metric Data'!AG7&gt;=1, INDEX(Metric_Incremental[], MATCH('Metric Data'!AG7, Metric_Incremental[Height], 1), MATCH('Cumulative Volumes Metric'!$F$4 &amp; "EC", Metric_Incremental[#Headers], 0)), 0))</f>
        <v>0</v>
      </c>
      <c r="F18" s="30">
        <f t="shared" si="9"/>
        <v>0</v>
      </c>
      <c r="G18" s="30">
        <f t="shared" si="0"/>
        <v>0</v>
      </c>
      <c r="H18" s="30">
        <f>IF(A18=0,"",IF('Cumulative Volumes Metric'!$AR$17=FALSE,J18,I18))</f>
        <v>5.9943999999999997</v>
      </c>
      <c r="I18" s="30">
        <f t="shared" si="10"/>
        <v>5.9943999999999997</v>
      </c>
      <c r="J18" s="30">
        <f t="shared" si="1"/>
        <v>5.9748725287679996</v>
      </c>
      <c r="K18" s="30">
        <f>IF(A18=0,"",IF('Cumulative Volumes Metric'!$AR$17=FALSE,M18,L18))</f>
        <v>5.9943999999999997</v>
      </c>
      <c r="L18" s="30">
        <f t="shared" si="11"/>
        <v>5.9943999999999997</v>
      </c>
      <c r="M18" s="30">
        <f t="shared" si="2"/>
        <v>5.9748725287679996</v>
      </c>
      <c r="N18" s="30">
        <f>IF(($E$8/25.4)+45+($E$9/25.4)&gt;989,"FALSE",IF(A18="","",IF('Cumulative Volumes Metric'!$AR$17=FALSE,P18,O18)))</f>
        <v>767.14390669120792</v>
      </c>
      <c r="O18" s="30">
        <f t="shared" si="12"/>
        <v>767.14390669120792</v>
      </c>
      <c r="P18" s="30">
        <f>IF(A18=0,"",IF('Cumulative Volumes Metric'!$AR$17=FALSE,(U18*$E$4)+(V18*$E$5),O18))</f>
        <v>767.14390669120792</v>
      </c>
      <c r="Q18" s="30">
        <f>IF(A18=0,"",(((25.4/1000)*'Metric Data'!$AC$4*'Metric Data'!$AC$5)-D18)*($E$6/100))</f>
        <v>5.6547410399999998E-2</v>
      </c>
      <c r="R18" s="30">
        <f t="shared" si="3"/>
        <v>5.6547410399999993</v>
      </c>
      <c r="S18" s="30">
        <f>IF(A18=0,"",(((25.4/1000)*'Metric Data'!$AC$5*'Metric Data'!$AC$7)-E18)*($E$6/100))</f>
        <v>3.2013148876799992E-2</v>
      </c>
      <c r="T18" s="30">
        <f t="shared" si="4"/>
        <v>0.32013148876799991</v>
      </c>
      <c r="U18" s="30">
        <f t="shared" si="5"/>
        <v>7.3427164938199692</v>
      </c>
      <c r="V18" s="30">
        <f t="shared" si="6"/>
        <v>3.1368642024347357</v>
      </c>
      <c r="W18" s="30">
        <f t="shared" si="7"/>
        <v>101.9558</v>
      </c>
    </row>
    <row r="19" spans="1:23" x14ac:dyDescent="0.2">
      <c r="A19" s="34">
        <f t="shared" si="13"/>
        <v>76</v>
      </c>
      <c r="B19" s="34">
        <v>6</v>
      </c>
      <c r="C19" s="34">
        <f t="shared" si="8"/>
        <v>1930.3999999999999</v>
      </c>
      <c r="D19" s="80">
        <f>IF(A19=0,"",IF('Metric Data'!AG8&gt;=1, INDEX(Metric_Incremental[], MATCH('Metric Data'!AG8, Metric_Incremental[Height], 1), MATCH('Cumulative Volumes Metric'!$F$4, Metric_Incremental[#Headers], 0)), 0))</f>
        <v>0</v>
      </c>
      <c r="E19" s="80">
        <f>IF(A19=0,"",IF('Metric Data'!AG8&gt;=1, INDEX(Metric_Incremental[], MATCH('Metric Data'!AG8, Metric_Incremental[Height], 1), MATCH('Cumulative Volumes Metric'!$F$4 &amp; "EC", Metric_Incremental[#Headers], 0)), 0))</f>
        <v>0</v>
      </c>
      <c r="F19" s="30">
        <f t="shared" si="9"/>
        <v>0</v>
      </c>
      <c r="G19" s="30">
        <f t="shared" si="0"/>
        <v>0</v>
      </c>
      <c r="H19" s="30">
        <f>IF(A19=0,"",IF('Cumulative Volumes Metric'!$AR$17=FALSE,J19,I19))</f>
        <v>5.9943999999999997</v>
      </c>
      <c r="I19" s="30">
        <f t="shared" si="10"/>
        <v>5.9943999999999997</v>
      </c>
      <c r="J19" s="30">
        <f t="shared" si="1"/>
        <v>5.9748725287679996</v>
      </c>
      <c r="K19" s="30">
        <f>IF(A19=0,"",IF('Cumulative Volumes Metric'!$AR$17=FALSE,M19,L19))</f>
        <v>5.9943999999999997</v>
      </c>
      <c r="L19" s="30">
        <f t="shared" si="11"/>
        <v>5.9943999999999997</v>
      </c>
      <c r="M19" s="30">
        <f t="shared" si="2"/>
        <v>5.9748725287679996</v>
      </c>
      <c r="N19" s="30">
        <f>IF(($E$8/25.4)+45+($E$9/25.4)&gt;989,"FALSE",IF(A19="","",IF('Cumulative Volumes Metric'!$AR$17=FALSE,P19,O19)))</f>
        <v>761.14950669120788</v>
      </c>
      <c r="O19" s="30">
        <f t="shared" si="12"/>
        <v>761.14950669120788</v>
      </c>
      <c r="P19" s="30">
        <f>IF(A19=0,"",IF('Cumulative Volumes Metric'!$AR$17=FALSE,(U19*$E$4)+(V19*$E$5),O19))</f>
        <v>761.14950669120788</v>
      </c>
      <c r="Q19" s="30">
        <f>IF(A19=0,"",(((25.4/1000)*'Metric Data'!$AC$4*'Metric Data'!$AC$5)-D19)*($E$6/100))</f>
        <v>5.6547410399999998E-2</v>
      </c>
      <c r="R19" s="30">
        <f t="shared" si="3"/>
        <v>5.6547410399999993</v>
      </c>
      <c r="S19" s="30">
        <f>IF(A19=0,"",(((25.4/1000)*'Metric Data'!$AC$5*'Metric Data'!$AC$7)-E19)*($E$6/100))</f>
        <v>3.2013148876799992E-2</v>
      </c>
      <c r="T19" s="30">
        <f t="shared" si="4"/>
        <v>0.32013148876799991</v>
      </c>
      <c r="U19" s="30">
        <f t="shared" si="5"/>
        <v>7.2861690834199688</v>
      </c>
      <c r="V19" s="30">
        <f t="shared" si="6"/>
        <v>3.1048510535579359</v>
      </c>
      <c r="W19" s="30">
        <f t="shared" si="7"/>
        <v>101.93040000000001</v>
      </c>
    </row>
    <row r="20" spans="1:23" x14ac:dyDescent="0.2">
      <c r="A20" s="34">
        <f t="shared" si="13"/>
        <v>75</v>
      </c>
      <c r="B20" s="34">
        <v>7</v>
      </c>
      <c r="C20" s="34">
        <f t="shared" si="8"/>
        <v>1905</v>
      </c>
      <c r="D20" s="80">
        <f>IF(A20=0,"",IF('Metric Data'!AG9&gt;=1, INDEX(Metric_Incremental[], MATCH('Metric Data'!AG9, Metric_Incremental[Height], 1), MATCH('Cumulative Volumes Metric'!$F$4, Metric_Incremental[#Headers], 0)), 0))</f>
        <v>0</v>
      </c>
      <c r="E20" s="80">
        <f>IF(A20=0,"",IF('Metric Data'!AG9&gt;=1, INDEX(Metric_Incremental[], MATCH('Metric Data'!AG9, Metric_Incremental[Height], 1), MATCH('Cumulative Volumes Metric'!$F$4 &amp; "EC", Metric_Incremental[#Headers], 0)), 0))</f>
        <v>0</v>
      </c>
      <c r="F20" s="30">
        <f t="shared" si="9"/>
        <v>0</v>
      </c>
      <c r="G20" s="30">
        <f t="shared" si="0"/>
        <v>0</v>
      </c>
      <c r="H20" s="30">
        <f>IF(A20=0,"",IF('Cumulative Volumes Metric'!$AR$17=FALSE,J20,I20))</f>
        <v>5.9943999999999997</v>
      </c>
      <c r="I20" s="30">
        <f t="shared" si="10"/>
        <v>5.9943999999999997</v>
      </c>
      <c r="J20" s="30">
        <f t="shared" si="1"/>
        <v>5.9748725287679996</v>
      </c>
      <c r="K20" s="30">
        <f>IF(A20=0,"",IF('Cumulative Volumes Metric'!$AR$17=FALSE,M20,L20))</f>
        <v>5.9943999999999997</v>
      </c>
      <c r="L20" s="30">
        <f t="shared" si="11"/>
        <v>5.9943999999999997</v>
      </c>
      <c r="M20" s="30">
        <f t="shared" si="2"/>
        <v>5.9748725287679996</v>
      </c>
      <c r="N20" s="30">
        <f>IF(($E$8/25.4)+45+($E$9/25.4)&gt;989,"FALSE",IF(A20="","",IF('Cumulative Volumes Metric'!$AR$17=FALSE,P20,O20)))</f>
        <v>755.15510669120783</v>
      </c>
      <c r="O20" s="30">
        <f t="shared" si="12"/>
        <v>755.15510669120783</v>
      </c>
      <c r="P20" s="30">
        <f>IF(A20=0,"",IF('Cumulative Volumes Metric'!$AR$17=FALSE,(U20*$E$4)+(V20*$E$5),O20))</f>
        <v>755.15510669120783</v>
      </c>
      <c r="Q20" s="30">
        <f>IF(A20=0,"",(((25.4/1000)*'Metric Data'!$AC$4*'Metric Data'!$AC$5)-D20)*($E$6/100))</f>
        <v>5.6547410399999998E-2</v>
      </c>
      <c r="R20" s="30">
        <f t="shared" si="3"/>
        <v>5.6547410399999993</v>
      </c>
      <c r="S20" s="30">
        <f>IF(A20=0,"",(((25.4/1000)*'Metric Data'!$AC$5*'Metric Data'!$AC$7)-E20)*($E$6/100))</f>
        <v>3.2013148876799992E-2</v>
      </c>
      <c r="T20" s="30">
        <f t="shared" si="4"/>
        <v>0.32013148876799991</v>
      </c>
      <c r="U20" s="30">
        <f t="shared" si="5"/>
        <v>7.2296216730199685</v>
      </c>
      <c r="V20" s="30">
        <f t="shared" si="6"/>
        <v>3.072837904681136</v>
      </c>
      <c r="W20" s="30">
        <f t="shared" si="7"/>
        <v>101.905</v>
      </c>
    </row>
    <row r="21" spans="1:23" x14ac:dyDescent="0.2">
      <c r="A21" s="34">
        <f t="shared" si="13"/>
        <v>74</v>
      </c>
      <c r="B21" s="34">
        <v>8</v>
      </c>
      <c r="C21" s="34">
        <f t="shared" si="8"/>
        <v>1879.6</v>
      </c>
      <c r="D21" s="80">
        <f>IF(A21=0,"",IF('Metric Data'!AG10&gt;=1, INDEX(Metric_Incremental[], MATCH('Metric Data'!AG10, Metric_Incremental[Height], 1), MATCH('Cumulative Volumes Metric'!$F$4, Metric_Incremental[#Headers], 0)), 0))</f>
        <v>0</v>
      </c>
      <c r="E21" s="80">
        <f>IF(A21=0,"",IF('Metric Data'!AG10&gt;=1, INDEX(Metric_Incremental[], MATCH('Metric Data'!AG10, Metric_Incremental[Height], 1), MATCH('Cumulative Volumes Metric'!$F$4 &amp; "EC", Metric_Incremental[#Headers], 0)), 0))</f>
        <v>0</v>
      </c>
      <c r="F21" s="30">
        <f t="shared" si="9"/>
        <v>0</v>
      </c>
      <c r="G21" s="30">
        <f t="shared" si="0"/>
        <v>0</v>
      </c>
      <c r="H21" s="30">
        <f>IF(A21=0,"",IF('Cumulative Volumes Metric'!$AR$17=FALSE,J21,I21))</f>
        <v>5.9943999999999997</v>
      </c>
      <c r="I21" s="30">
        <f t="shared" si="10"/>
        <v>5.9943999999999997</v>
      </c>
      <c r="J21" s="30">
        <f t="shared" si="1"/>
        <v>5.9748725287679996</v>
      </c>
      <c r="K21" s="30">
        <f>IF(A21=0,"",IF('Cumulative Volumes Metric'!$AR$17=FALSE,M21,L21))</f>
        <v>5.9943999999999997</v>
      </c>
      <c r="L21" s="30">
        <f t="shared" si="11"/>
        <v>5.9943999999999997</v>
      </c>
      <c r="M21" s="30">
        <f t="shared" si="2"/>
        <v>5.9748725287679996</v>
      </c>
      <c r="N21" s="30">
        <f>IF(($E$8/25.4)+45+($E$9/25.4)&gt;989,"FALSE",IF(A21="","",IF('Cumulative Volumes Metric'!$AR$17=FALSE,P21,O21)))</f>
        <v>749.16070669120779</v>
      </c>
      <c r="O21" s="30">
        <f t="shared" si="12"/>
        <v>749.16070669120779</v>
      </c>
      <c r="P21" s="30">
        <f>IF(A21=0,"",IF('Cumulative Volumes Metric'!$AR$17=FALSE,(U21*$E$4)+(V21*$E$5),O21))</f>
        <v>749.16070669120779</v>
      </c>
      <c r="Q21" s="30">
        <f>IF(A21=0,"",(((25.4/1000)*'Metric Data'!$AC$4*'Metric Data'!$AC$5)-D21)*($E$6/100))</f>
        <v>5.6547410399999998E-2</v>
      </c>
      <c r="R21" s="30">
        <f t="shared" si="3"/>
        <v>5.6547410399999993</v>
      </c>
      <c r="S21" s="30">
        <f>IF(A21=0,"",(((25.4/1000)*'Metric Data'!$AC$5*'Metric Data'!$AC$7)-E21)*($E$6/100))</f>
        <v>3.2013148876799992E-2</v>
      </c>
      <c r="T21" s="30">
        <f t="shared" si="4"/>
        <v>0.32013148876799991</v>
      </c>
      <c r="U21" s="30">
        <f t="shared" si="5"/>
        <v>7.1730742626199682</v>
      </c>
      <c r="V21" s="30">
        <f t="shared" si="6"/>
        <v>3.0408247558043362</v>
      </c>
      <c r="W21" s="30">
        <f t="shared" si="7"/>
        <v>101.8796</v>
      </c>
    </row>
    <row r="22" spans="1:23" x14ac:dyDescent="0.2">
      <c r="A22" s="34">
        <f t="shared" si="13"/>
        <v>73</v>
      </c>
      <c r="B22" s="34">
        <v>9</v>
      </c>
      <c r="C22" s="34">
        <f t="shared" si="8"/>
        <v>1854.1999999999998</v>
      </c>
      <c r="D22" s="80">
        <f>IF(A22=0,"",IF('Metric Data'!AG11&gt;=1, INDEX(Metric_Incremental[], MATCH('Metric Data'!AG11, Metric_Incremental[Height], 1), MATCH('Cumulative Volumes Metric'!$F$4, Metric_Incremental[#Headers], 0)), 0))</f>
        <v>0</v>
      </c>
      <c r="E22" s="80">
        <f>IF(A22=0,"",IF('Metric Data'!AG11&gt;=1, INDEX(Metric_Incremental[], MATCH('Metric Data'!AG11, Metric_Incremental[Height], 1), MATCH('Cumulative Volumes Metric'!$F$4 &amp; "EC", Metric_Incremental[#Headers], 0)), 0))</f>
        <v>0</v>
      </c>
      <c r="F22" s="30">
        <f t="shared" si="9"/>
        <v>0</v>
      </c>
      <c r="G22" s="30">
        <f t="shared" si="0"/>
        <v>0</v>
      </c>
      <c r="H22" s="30">
        <f>IF(A22=0,"",IF('Cumulative Volumes Metric'!$AR$17=FALSE,J22,I22))</f>
        <v>5.9943999999999997</v>
      </c>
      <c r="I22" s="30">
        <f t="shared" si="10"/>
        <v>5.9943999999999997</v>
      </c>
      <c r="J22" s="30">
        <f t="shared" si="1"/>
        <v>5.9748725287679996</v>
      </c>
      <c r="K22" s="30">
        <f>IF(A22=0,"",IF('Cumulative Volumes Metric'!$AR$17=FALSE,M22,L22))</f>
        <v>5.9943999999999997</v>
      </c>
      <c r="L22" s="30">
        <f t="shared" si="11"/>
        <v>5.9943999999999997</v>
      </c>
      <c r="M22" s="30">
        <f t="shared" si="2"/>
        <v>5.9748725287679996</v>
      </c>
      <c r="N22" s="30">
        <f>IF(($E$8/25.4)+45+($E$9/25.4)&gt;989,"FALSE",IF(A22="","",IF('Cumulative Volumes Metric'!$AR$17=FALSE,P22,O22)))</f>
        <v>743.16630669120775</v>
      </c>
      <c r="O22" s="30">
        <f t="shared" si="12"/>
        <v>743.16630669120775</v>
      </c>
      <c r="P22" s="30">
        <f>IF(A22=0,"",IF('Cumulative Volumes Metric'!$AR$17=FALSE,(U22*$E$4)+(V22*$E$5),O22))</f>
        <v>743.16630669120775</v>
      </c>
      <c r="Q22" s="30">
        <f>IF(A22=0,"",(((25.4/1000)*'Metric Data'!$AC$4*'Metric Data'!$AC$5)-D22)*($E$6/100))</f>
        <v>5.6547410399999998E-2</v>
      </c>
      <c r="R22" s="30">
        <f t="shared" si="3"/>
        <v>5.6547410399999993</v>
      </c>
      <c r="S22" s="30">
        <f>IF(A22=0,"",(((25.4/1000)*'Metric Data'!$AC$5*'Metric Data'!$AC$7)-E22)*($E$6/100))</f>
        <v>3.2013148876799992E-2</v>
      </c>
      <c r="T22" s="30">
        <f t="shared" si="4"/>
        <v>0.32013148876799991</v>
      </c>
      <c r="U22" s="30">
        <f t="shared" si="5"/>
        <v>7.1165268522199678</v>
      </c>
      <c r="V22" s="30">
        <f t="shared" si="6"/>
        <v>3.0088116069275364</v>
      </c>
      <c r="W22" s="30">
        <f t="shared" si="7"/>
        <v>101.85420000000001</v>
      </c>
    </row>
    <row r="23" spans="1:23" x14ac:dyDescent="0.2">
      <c r="A23" s="34">
        <f t="shared" si="13"/>
        <v>72</v>
      </c>
      <c r="B23" s="34">
        <v>10</v>
      </c>
      <c r="C23" s="34">
        <f t="shared" si="8"/>
        <v>1828.8</v>
      </c>
      <c r="D23" s="80">
        <f>IF(A23=0,"",IF('Metric Data'!AG12&gt;=1, INDEX(Metric_Incremental[], MATCH('Metric Data'!AG12, Metric_Incremental[Height], 1), MATCH('Cumulative Volumes Metric'!$F$4, Metric_Incremental[#Headers], 0)), 0))</f>
        <v>0</v>
      </c>
      <c r="E23" s="80">
        <f>IF(A23=0,"",IF('Metric Data'!AG12&gt;=1, INDEX(Metric_Incremental[], MATCH('Metric Data'!AG12, Metric_Incremental[Height], 1), MATCH('Cumulative Volumes Metric'!$F$4 &amp; "EC", Metric_Incremental[#Headers], 0)), 0))</f>
        <v>0</v>
      </c>
      <c r="F23" s="30">
        <f t="shared" si="9"/>
        <v>0</v>
      </c>
      <c r="G23" s="30">
        <f t="shared" si="0"/>
        <v>0</v>
      </c>
      <c r="H23" s="30">
        <f>IF(A23=0,"",IF('Cumulative Volumes Metric'!$AR$17=FALSE,J23,I23))</f>
        <v>5.9943999999999997</v>
      </c>
      <c r="I23" s="30">
        <f t="shared" si="10"/>
        <v>5.9943999999999997</v>
      </c>
      <c r="J23" s="30">
        <f t="shared" si="1"/>
        <v>5.9748725287679996</v>
      </c>
      <c r="K23" s="30">
        <f>IF(A23=0,"",IF('Cumulative Volumes Metric'!$AR$17=FALSE,M23,L23))</f>
        <v>5.9943999999999997</v>
      </c>
      <c r="L23" s="30">
        <f t="shared" si="11"/>
        <v>5.9943999999999997</v>
      </c>
      <c r="M23" s="30">
        <f t="shared" si="2"/>
        <v>5.9748725287679996</v>
      </c>
      <c r="N23" s="30">
        <f>IF(($E$8/25.4)+45+($E$9/25.4)&gt;989,"FALSE",IF(A23="","",IF('Cumulative Volumes Metric'!$AR$17=FALSE,P23,O23)))</f>
        <v>737.17190669120771</v>
      </c>
      <c r="O23" s="30">
        <f t="shared" si="12"/>
        <v>737.17190669120771</v>
      </c>
      <c r="P23" s="30">
        <f>IF(A23=0,"",IF('Cumulative Volumes Metric'!$AR$17=FALSE,(U23*$E$4)+(V23*$E$5),O23))</f>
        <v>737.17190669120771</v>
      </c>
      <c r="Q23" s="30">
        <f>IF(A23=0,"",(((25.4/1000)*'Metric Data'!$AC$4*'Metric Data'!$AC$5)-D23)*($E$6/100))</f>
        <v>5.6547410399999998E-2</v>
      </c>
      <c r="R23" s="30">
        <f t="shared" si="3"/>
        <v>5.6547410399999993</v>
      </c>
      <c r="S23" s="30">
        <f>IF(A23=0,"",(((25.4/1000)*'Metric Data'!$AC$5*'Metric Data'!$AC$7)-E23)*($E$6/100))</f>
        <v>3.2013148876799992E-2</v>
      </c>
      <c r="T23" s="30">
        <f t="shared" si="4"/>
        <v>0.32013148876799991</v>
      </c>
      <c r="U23" s="30">
        <f t="shared" si="5"/>
        <v>7.0599794418199675</v>
      </c>
      <c r="V23" s="30">
        <f t="shared" si="6"/>
        <v>2.9767984580507365</v>
      </c>
      <c r="W23" s="30">
        <f t="shared" si="7"/>
        <v>101.8288</v>
      </c>
    </row>
    <row r="24" spans="1:23" x14ac:dyDescent="0.2">
      <c r="A24" s="34">
        <f t="shared" si="13"/>
        <v>71</v>
      </c>
      <c r="B24" s="34">
        <v>11</v>
      </c>
      <c r="C24" s="34">
        <f t="shared" si="8"/>
        <v>1803.3999999999999</v>
      </c>
      <c r="D24" s="80">
        <f>IF(A24=0,"",IF('Metric Data'!AG13&gt;=1, INDEX(Metric_Incremental[], MATCH('Metric Data'!AG13, Metric_Incremental[Height], 1), MATCH('Cumulative Volumes Metric'!$F$4, Metric_Incremental[#Headers], 0)), 0))</f>
        <v>0</v>
      </c>
      <c r="E24" s="80">
        <f>IF(A24=0,"",IF('Metric Data'!AG13&gt;=1, INDEX(Metric_Incremental[], MATCH('Metric Data'!AG13, Metric_Incremental[Height], 1), MATCH('Cumulative Volumes Metric'!$F$4 &amp; "EC", Metric_Incremental[#Headers], 0)), 0))</f>
        <v>0</v>
      </c>
      <c r="F24" s="30">
        <f t="shared" si="9"/>
        <v>0</v>
      </c>
      <c r="G24" s="30">
        <f t="shared" si="0"/>
        <v>0</v>
      </c>
      <c r="H24" s="30">
        <f>IF(A24=0,"",IF('Cumulative Volumes Metric'!$AR$17=FALSE,J24,I24))</f>
        <v>5.9943999999999997</v>
      </c>
      <c r="I24" s="30">
        <f t="shared" si="10"/>
        <v>5.9943999999999997</v>
      </c>
      <c r="J24" s="30">
        <f t="shared" si="1"/>
        <v>5.9748725287679996</v>
      </c>
      <c r="K24" s="30">
        <f>IF(A24=0,"",IF('Cumulative Volumes Metric'!$AR$17=FALSE,M24,L24))</f>
        <v>5.9943999999999997</v>
      </c>
      <c r="L24" s="30">
        <f t="shared" si="11"/>
        <v>5.9943999999999997</v>
      </c>
      <c r="M24" s="30">
        <f t="shared" si="2"/>
        <v>5.9748725287679996</v>
      </c>
      <c r="N24" s="30">
        <f>IF(($E$8/25.4)+45+($E$9/25.4)&gt;989,"FALSE",IF(A24="","",IF('Cumulative Volumes Metric'!$AR$17=FALSE,P24,O24)))</f>
        <v>731.17750669120767</v>
      </c>
      <c r="O24" s="30">
        <f t="shared" si="12"/>
        <v>731.17750669120767</v>
      </c>
      <c r="P24" s="30">
        <f>IF(A24=0,"",IF('Cumulative Volumes Metric'!$AR$17=FALSE,(U24*$E$4)+(V24*$E$5),O24))</f>
        <v>731.17750669120767</v>
      </c>
      <c r="Q24" s="30">
        <f>IF(A24=0,"",(((25.4/1000)*'Metric Data'!$AC$4*'Metric Data'!$AC$5)-D24)*($E$6/100))</f>
        <v>5.6547410399999998E-2</v>
      </c>
      <c r="R24" s="30">
        <f t="shared" si="3"/>
        <v>5.6547410399999993</v>
      </c>
      <c r="S24" s="30">
        <f>IF(A24=0,"",(((25.4/1000)*'Metric Data'!$AC$5*'Metric Data'!$AC$7)-E24)*($E$6/100))</f>
        <v>3.2013148876799992E-2</v>
      </c>
      <c r="T24" s="30">
        <f t="shared" si="4"/>
        <v>0.32013148876799991</v>
      </c>
      <c r="U24" s="30">
        <f t="shared" si="5"/>
        <v>7.0034320314199672</v>
      </c>
      <c r="V24" s="30">
        <f t="shared" si="6"/>
        <v>2.9447853091739367</v>
      </c>
      <c r="W24" s="30">
        <f t="shared" si="7"/>
        <v>101.8034</v>
      </c>
    </row>
    <row r="25" spans="1:23" x14ac:dyDescent="0.2">
      <c r="A25" s="34">
        <f t="shared" si="13"/>
        <v>70</v>
      </c>
      <c r="B25" s="34">
        <v>12</v>
      </c>
      <c r="C25" s="34">
        <f t="shared" si="8"/>
        <v>1778</v>
      </c>
      <c r="D25" s="80">
        <f>IF(A25=0,"",IF('Metric Data'!AG14&gt;=1, INDEX(Metric_Incremental[], MATCH('Metric Data'!AG14, Metric_Incremental[Height], 1), MATCH('Cumulative Volumes Metric'!$F$4, Metric_Incremental[#Headers], 0)), 0))</f>
        <v>0</v>
      </c>
      <c r="E25" s="80">
        <f>IF(A25=0,"",IF('Metric Data'!AG14&gt;=1, INDEX(Metric_Incremental[], MATCH('Metric Data'!AG14, Metric_Incremental[Height], 1), MATCH('Cumulative Volumes Metric'!$F$4 &amp; "EC", Metric_Incremental[#Headers], 0)), 0))</f>
        <v>0</v>
      </c>
      <c r="F25" s="30">
        <f t="shared" si="9"/>
        <v>0</v>
      </c>
      <c r="G25" s="30">
        <f t="shared" si="0"/>
        <v>0</v>
      </c>
      <c r="H25" s="30">
        <f>IF(A25=0,"",IF('Cumulative Volumes Metric'!$AR$17=FALSE,J25,I25))</f>
        <v>5.9943999999999997</v>
      </c>
      <c r="I25" s="30">
        <f t="shared" si="10"/>
        <v>5.9943999999999997</v>
      </c>
      <c r="J25" s="30">
        <f t="shared" si="1"/>
        <v>5.9748725287679996</v>
      </c>
      <c r="K25" s="30">
        <f>IF(A25=0,"",IF('Cumulative Volumes Metric'!$AR$17=FALSE,M25,L25))</f>
        <v>5.9943999999999997</v>
      </c>
      <c r="L25" s="30">
        <f t="shared" si="11"/>
        <v>5.9943999999999997</v>
      </c>
      <c r="M25" s="30">
        <f t="shared" si="2"/>
        <v>5.9748725287679996</v>
      </c>
      <c r="N25" s="30">
        <f>IF(($E$8/25.4)+45+($E$9/25.4)&gt;989,"FALSE",IF(A25="","",IF('Cumulative Volumes Metric'!$AR$17=FALSE,P25,O25)))</f>
        <v>725.18310669120763</v>
      </c>
      <c r="O25" s="30">
        <f t="shared" si="12"/>
        <v>725.18310669120763</v>
      </c>
      <c r="P25" s="30">
        <f>IF(A25=0,"",IF('Cumulative Volumes Metric'!$AR$17=FALSE,(U25*$E$4)+(V25*$E$5),O25))</f>
        <v>725.18310669120763</v>
      </c>
      <c r="Q25" s="30">
        <f>IF(A25=0,"",(((25.4/1000)*'Metric Data'!$AC$4*'Metric Data'!$AC$5)-D25)*($E$6/100))</f>
        <v>5.6547410399999998E-2</v>
      </c>
      <c r="R25" s="30">
        <f t="shared" si="3"/>
        <v>5.6547410399999993</v>
      </c>
      <c r="S25" s="30">
        <f>IF(A25=0,"",(((25.4/1000)*'Metric Data'!$AC$5*'Metric Data'!$AC$7)-E25)*($E$6/100))</f>
        <v>3.2013148876799992E-2</v>
      </c>
      <c r="T25" s="30">
        <f t="shared" si="4"/>
        <v>0.32013148876799991</v>
      </c>
      <c r="U25" s="30">
        <f t="shared" si="5"/>
        <v>6.9468846210199668</v>
      </c>
      <c r="V25" s="30">
        <f t="shared" si="6"/>
        <v>2.9127721602971368</v>
      </c>
      <c r="W25" s="30">
        <f t="shared" si="7"/>
        <v>101.77800000000001</v>
      </c>
    </row>
    <row r="26" spans="1:23" x14ac:dyDescent="0.2">
      <c r="A26" s="34">
        <f t="shared" si="13"/>
        <v>69</v>
      </c>
      <c r="B26" s="34">
        <v>13</v>
      </c>
      <c r="C26" s="34">
        <f t="shared" si="8"/>
        <v>1752.6</v>
      </c>
      <c r="D26" s="80">
        <f>IF(A26=0,"",IF('Metric Data'!AG15&gt;=1, INDEX(Metric_Incremental[], MATCH('Metric Data'!AG15, Metric_Incremental[Height], 1), MATCH('Cumulative Volumes Metric'!$F$4, Metric_Incremental[#Headers], 0)), 0))</f>
        <v>1.6813240832510611E-3</v>
      </c>
      <c r="E26" s="80">
        <f>IF(A26=0,"",IF('Metric Data'!AG15&gt;=1, INDEX(Metric_Incremental[], MATCH('Metric Data'!AG15, Metric_Incremental[Height], 1), MATCH('Cumulative Volumes Metric'!$F$4 &amp; "EC", Metric_Incremental[#Headers], 0)), 0))</f>
        <v>3.6870678182073126E-4</v>
      </c>
      <c r="F26" s="30">
        <f t="shared" si="9"/>
        <v>0.16813240832510612</v>
      </c>
      <c r="G26" s="30">
        <f t="shared" si="0"/>
        <v>3.6870678182073127E-3</v>
      </c>
      <c r="H26" s="30">
        <f>IF(A26=0,"",IF('Cumulative Volumes Metric'!$AR$17=FALSE,J26,I26))</f>
        <v>5.9256722095426744</v>
      </c>
      <c r="I26" s="30">
        <f t="shared" si="10"/>
        <v>5.9256722095426744</v>
      </c>
      <c r="J26" s="30">
        <f t="shared" si="1"/>
        <v>5.9061447383106751</v>
      </c>
      <c r="K26" s="30">
        <f>IF(A26=0,"",IF('Cumulative Volumes Metric'!$AR$17=FALSE,M26,L26))</f>
        <v>6.0974916856859878</v>
      </c>
      <c r="L26" s="30">
        <f t="shared" si="11"/>
        <v>6.0974916856859878</v>
      </c>
      <c r="M26" s="30">
        <f t="shared" si="2"/>
        <v>6.0779642144539885</v>
      </c>
      <c r="N26" s="30">
        <f>IF(($E$8/25.4)+45+($E$9/25.4)&gt;989,"FALSE",IF(A26="","",IF('Cumulative Volumes Metric'!$AR$17=FALSE,P26,O26)))</f>
        <v>719.18870669120759</v>
      </c>
      <c r="O26" s="30">
        <f t="shared" si="12"/>
        <v>719.18870669120759</v>
      </c>
      <c r="P26" s="30">
        <f>IF(A26=0,"",IF('Cumulative Volumes Metric'!$AR$17=FALSE,(U26*$E$4)+(V26*$E$5),O26))</f>
        <v>719.18870669120759</v>
      </c>
      <c r="Q26" s="30">
        <f>IF(A26=0,"",(((25.4/1000)*'Metric Data'!$AC$4*'Metric Data'!$AC$5)-D26)*($E$6/100))</f>
        <v>5.5874880766699581E-2</v>
      </c>
      <c r="R26" s="30">
        <f t="shared" si="3"/>
        <v>5.5874880766699579</v>
      </c>
      <c r="S26" s="30">
        <f>IF(A26=0,"",(((25.4/1000)*'Metric Data'!$AC$5*'Metric Data'!$AC$7)-E26)*($E$6/100))</f>
        <v>3.1865666164071701E-2</v>
      </c>
      <c r="T26" s="30">
        <f t="shared" si="4"/>
        <v>0.31865666164071704</v>
      </c>
      <c r="U26" s="30">
        <f t="shared" si="5"/>
        <v>6.8903372106199665</v>
      </c>
      <c r="V26" s="30">
        <f t="shared" si="6"/>
        <v>2.880759011420337</v>
      </c>
      <c r="W26" s="30">
        <f t="shared" si="7"/>
        <v>101.7526</v>
      </c>
    </row>
    <row r="27" spans="1:23" x14ac:dyDescent="0.2">
      <c r="A27" s="34">
        <f t="shared" si="13"/>
        <v>68</v>
      </c>
      <c r="B27" s="34">
        <v>14</v>
      </c>
      <c r="C27" s="34">
        <f t="shared" si="8"/>
        <v>1727.1999999999998</v>
      </c>
      <c r="D27" s="80">
        <f>IF(A27=0,"",IF('Metric Data'!AG16&gt;=1, INDEX(Metric_Incremental[], MATCH('Metric Data'!AG16, Metric_Incremental[Height], 1), MATCH('Cumulative Volumes Metric'!$F$4, Metric_Incremental[#Headers], 0)), 0))</f>
        <v>5.3852241257258716E-3</v>
      </c>
      <c r="E27" s="80">
        <f>IF(A27=0,"",IF('Metric Data'!AG16&gt;=1, INDEX(Metric_Incremental[], MATCH('Metric Data'!AG16, Metric_Incremental[Height], 1), MATCH('Cumulative Volumes Metric'!$F$4 &amp; "EC", Metric_Incremental[#Headers], 0)), 0))</f>
        <v>9.6029675775153569E-4</v>
      </c>
      <c r="F27" s="30">
        <f t="shared" si="9"/>
        <v>0.53852241257258715</v>
      </c>
      <c r="G27" s="30">
        <f t="shared" si="0"/>
        <v>9.6029675775153572E-3</v>
      </c>
      <c r="H27" s="30">
        <f>IF(A27=0,"",IF('Cumulative Volumes Metric'!$AR$17=FALSE,J27,I27))</f>
        <v>5.775149847939959</v>
      </c>
      <c r="I27" s="30">
        <f t="shared" si="10"/>
        <v>5.775149847939959</v>
      </c>
      <c r="J27" s="30">
        <f t="shared" si="1"/>
        <v>5.7556223767079588</v>
      </c>
      <c r="K27" s="30">
        <f>IF(A27=0,"",IF('Cumulative Volumes Metric'!$AR$17=FALSE,M27,L27))</f>
        <v>6.3232752280900613</v>
      </c>
      <c r="L27" s="30">
        <f t="shared" si="11"/>
        <v>6.3232752280900613</v>
      </c>
      <c r="M27" s="30">
        <f t="shared" si="2"/>
        <v>6.3037477568580611</v>
      </c>
      <c r="N27" s="30">
        <f>IF(($E$8/25.4)+45+($E$9/25.4)&gt;989,"FALSE",IF(A27="","",IF('Cumulative Volumes Metric'!$AR$17=FALSE,P27,O27)))</f>
        <v>713.09121500552158</v>
      </c>
      <c r="O27" s="30">
        <f t="shared" si="12"/>
        <v>713.09121500552158</v>
      </c>
      <c r="P27" s="30">
        <f>IF(A27=0,"",IF('Cumulative Volumes Metric'!$AR$17=FALSE,(U27*$E$4)+(V27*$E$5),O27))</f>
        <v>713.09121500552158</v>
      </c>
      <c r="Q27" s="30">
        <f>IF(A27=0,"",(((25.4/1000)*'Metric Data'!$AC$4*'Metric Data'!$AC$5)-D27)*($E$6/100))</f>
        <v>5.439332074970965E-2</v>
      </c>
      <c r="R27" s="30">
        <f t="shared" si="3"/>
        <v>5.4393320749709648</v>
      </c>
      <c r="S27" s="30">
        <f>IF(A27=0,"",(((25.4/1000)*'Metric Data'!$AC$5*'Metric Data'!$AC$7)-E27)*($E$6/100))</f>
        <v>3.1629030173699377E-2</v>
      </c>
      <c r="T27" s="30">
        <f t="shared" si="4"/>
        <v>0.3162903017369938</v>
      </c>
      <c r="U27" s="30">
        <f t="shared" si="5"/>
        <v>6.8327810057700153</v>
      </c>
      <c r="V27" s="30">
        <f t="shared" si="6"/>
        <v>2.8485246384744447</v>
      </c>
      <c r="W27" s="30">
        <f t="shared" si="7"/>
        <v>101.7272</v>
      </c>
    </row>
    <row r="28" spans="1:23" x14ac:dyDescent="0.2">
      <c r="A28" s="34">
        <f t="shared" si="13"/>
        <v>67</v>
      </c>
      <c r="B28" s="34">
        <v>15</v>
      </c>
      <c r="C28" s="34">
        <f t="shared" si="8"/>
        <v>1701.8</v>
      </c>
      <c r="D28" s="80">
        <f>IF(A28=0,"",IF('Metric Data'!AG17&gt;=1, INDEX(Metric_Incremental[], MATCH('Metric Data'!AG17, Metric_Incremental[Height], 1), MATCH('Cumulative Volumes Metric'!$F$4, Metric_Incremental[#Headers], 0)), 0))</f>
        <v>7.7921019396853817E-3</v>
      </c>
      <c r="E28" s="80">
        <f>IF(A28=0,"",IF('Metric Data'!AG17&gt;=1, INDEX(Metric_Incremental[], MATCH('Metric Data'!AG17, Metric_Incremental[Height], 1), MATCH('Cumulative Volumes Metric'!$F$4 &amp; "EC", Metric_Incremental[#Headers], 0)), 0))</f>
        <v>1.4661081693331439E-3</v>
      </c>
      <c r="F28" s="30">
        <f t="shared" si="9"/>
        <v>0.77921019396853819</v>
      </c>
      <c r="G28" s="30">
        <f t="shared" si="0"/>
        <v>1.4661081693331439E-2</v>
      </c>
      <c r="H28" s="30">
        <f>IF(A28=0,"",IF('Cumulative Volumes Metric'!$AR$17=FALSE,J28,I28))</f>
        <v>5.6768514897352524</v>
      </c>
      <c r="I28" s="30">
        <f t="shared" si="10"/>
        <v>5.6768514897352524</v>
      </c>
      <c r="J28" s="30">
        <f t="shared" si="1"/>
        <v>5.6573240185032514</v>
      </c>
      <c r="K28" s="30">
        <f>IF(A28=0,"",IF('Cumulative Volumes Metric'!$AR$17=FALSE,M28,L28))</f>
        <v>6.470722765397122</v>
      </c>
      <c r="L28" s="30">
        <f t="shared" si="11"/>
        <v>6.470722765397122</v>
      </c>
      <c r="M28" s="30">
        <f t="shared" si="2"/>
        <v>6.4511952941651209</v>
      </c>
      <c r="N28" s="30">
        <f>IF(($E$8/25.4)+45+($E$9/25.4)&gt;989,"FALSE",IF(A28="","",IF('Cumulative Volumes Metric'!$AR$17=FALSE,P28,O28)))</f>
        <v>706.76793977743148</v>
      </c>
      <c r="O28" s="30">
        <f t="shared" si="12"/>
        <v>706.76793977743148</v>
      </c>
      <c r="P28" s="30">
        <f>IF(A28=0,"",IF('Cumulative Volumes Metric'!$AR$17=FALSE,(U28*$E$4)+(V28*$E$5),O28))</f>
        <v>706.76793977743148</v>
      </c>
      <c r="Q28" s="30">
        <f>IF(A28=0,"",(((25.4/1000)*'Metric Data'!$AC$4*'Metric Data'!$AC$5)-D28)*($E$6/100))</f>
        <v>5.3430569624125845E-2</v>
      </c>
      <c r="R28" s="30">
        <f t="shared" si="3"/>
        <v>5.3430569624125841</v>
      </c>
      <c r="S28" s="30">
        <f>IF(A28=0,"",(((25.4/1000)*'Metric Data'!$AC$5*'Metric Data'!$AC$7)-E28)*($E$6/100))</f>
        <v>3.1426705609066734E-2</v>
      </c>
      <c r="T28" s="30">
        <f t="shared" si="4"/>
        <v>0.31426705609066735</v>
      </c>
      <c r="U28" s="30">
        <f t="shared" si="5"/>
        <v>6.7730024608945802</v>
      </c>
      <c r="V28" s="30">
        <f t="shared" si="6"/>
        <v>2.8159353115429941</v>
      </c>
      <c r="W28" s="30">
        <f t="shared" si="7"/>
        <v>101.70180000000001</v>
      </c>
    </row>
    <row r="29" spans="1:23" x14ac:dyDescent="0.2">
      <c r="A29" s="34">
        <f t="shared" si="13"/>
        <v>66</v>
      </c>
      <c r="B29" s="34">
        <v>16</v>
      </c>
      <c r="C29" s="34">
        <f t="shared" si="8"/>
        <v>1676.3999999999999</v>
      </c>
      <c r="D29" s="80">
        <f>IF(A29=0,"",IF('Metric Data'!AG18&gt;=1, INDEX(Metric_Incremental[], MATCH('Metric Data'!AG18, Metric_Incremental[Height], 1), MATCH('Cumulative Volumes Metric'!$F$4, Metric_Incremental[#Headers], 0)), 0))</f>
        <v>1.0116122893954676E-2</v>
      </c>
      <c r="E29" s="80">
        <f>IF(A29=0,"",IF('Metric Data'!AG18&gt;=1, INDEX(Metric_Incremental[], MATCH('Metric Data'!AG18, Metric_Incremental[Height], 1), MATCH('Cumulative Volumes Metric'!$F$4 &amp; "EC", Metric_Incremental[#Headers], 0)), 0))</f>
        <v>1.8688950870736228E-3</v>
      </c>
      <c r="F29" s="30">
        <f t="shared" si="9"/>
        <v>1.0116122893954675</v>
      </c>
      <c r="G29" s="30">
        <f t="shared" si="0"/>
        <v>1.8688950870736229E-2</v>
      </c>
      <c r="H29" s="30">
        <f>IF(A29=0,"",IF('Cumulative Volumes Metric'!$AR$17=FALSE,J29,I29))</f>
        <v>5.5822795038935187</v>
      </c>
      <c r="I29" s="30">
        <f t="shared" si="10"/>
        <v>5.5822795038935187</v>
      </c>
      <c r="J29" s="30">
        <f t="shared" si="1"/>
        <v>5.5627520326615185</v>
      </c>
      <c r="K29" s="30">
        <f>IF(A29=0,"",IF('Cumulative Volumes Metric'!$AR$17=FALSE,M29,L29))</f>
        <v>6.6125807441597217</v>
      </c>
      <c r="L29" s="30">
        <f t="shared" si="11"/>
        <v>6.6125807441597217</v>
      </c>
      <c r="M29" s="30">
        <f t="shared" si="2"/>
        <v>6.5930532729277225</v>
      </c>
      <c r="N29" s="30">
        <f>IF(($E$8/25.4)+45+($E$9/25.4)&gt;989,"FALSE",IF(A29="","",IF('Cumulative Volumes Metric'!$AR$17=FALSE,P29,O29)))</f>
        <v>700.29721701203437</v>
      </c>
      <c r="O29" s="30">
        <f t="shared" si="12"/>
        <v>700.29721701203437</v>
      </c>
      <c r="P29" s="30">
        <f>IF(A29=0,"",IF('Cumulative Volumes Metric'!$AR$17=FALSE,(U29*$E$4)+(V29*$E$5),O29))</f>
        <v>700.29721701203437</v>
      </c>
      <c r="Q29" s="30">
        <f>IF(A29=0,"",(((25.4/1000)*'Metric Data'!$AC$4*'Metric Data'!$AC$5)-D29)*($E$6/100))</f>
        <v>5.2500961242418133E-2</v>
      </c>
      <c r="R29" s="30">
        <f t="shared" si="3"/>
        <v>5.2500961242418134</v>
      </c>
      <c r="S29" s="30">
        <f>IF(A29=0,"",(((25.4/1000)*'Metric Data'!$AC$5*'Metric Data'!$AC$7)-E29)*($E$6/100))</f>
        <v>3.1265590841970545E-2</v>
      </c>
      <c r="T29" s="30">
        <f t="shared" si="4"/>
        <v>0.31265590841970547</v>
      </c>
      <c r="U29" s="30">
        <f t="shared" si="5"/>
        <v>6.7117797893307687</v>
      </c>
      <c r="V29" s="30">
        <f t="shared" si="6"/>
        <v>2.783042497764594</v>
      </c>
      <c r="W29" s="30">
        <f t="shared" si="7"/>
        <v>101.6764</v>
      </c>
    </row>
    <row r="30" spans="1:23" x14ac:dyDescent="0.2">
      <c r="A30" s="34">
        <f t="shared" si="13"/>
        <v>65</v>
      </c>
      <c r="B30" s="34">
        <v>17</v>
      </c>
      <c r="C30" s="34">
        <f t="shared" si="8"/>
        <v>1651</v>
      </c>
      <c r="D30" s="80">
        <f>IF(A30=0,"",IF('Metric Data'!AG19&gt;=1, INDEX(Metric_Incremental[], MATCH('Metric Data'!AG19, Metric_Incremental[Height], 1), MATCH('Cumulative Volumes Metric'!$F$4, Metric_Incremental[#Headers], 0)), 0))</f>
        <v>1.2980261645193192E-2</v>
      </c>
      <c r="E30" s="80">
        <f>IF(A30=0,"",IF('Metric Data'!AG19&gt;=1, INDEX(Metric_Incremental[], MATCH('Metric Data'!AG19, Metric_Incremental[Height], 1), MATCH('Cumulative Volumes Metric'!$F$4 &amp; "EC", Metric_Incremental[#Headers], 0)), 0))</f>
        <v>2.3522746708196959E-3</v>
      </c>
      <c r="F30" s="30">
        <f t="shared" si="9"/>
        <v>1.2980261645193192</v>
      </c>
      <c r="G30" s="30">
        <f t="shared" si="0"/>
        <v>2.352274670819696E-2</v>
      </c>
      <c r="H30" s="30">
        <f>IF(A30=0,"",IF('Cumulative Volumes Metric'!$AR$17=FALSE,J30,I30))</f>
        <v>5.465780435508993</v>
      </c>
      <c r="I30" s="30">
        <f t="shared" si="10"/>
        <v>5.465780435508993</v>
      </c>
      <c r="J30" s="30">
        <f t="shared" si="1"/>
        <v>5.4462529642769937</v>
      </c>
      <c r="K30" s="30">
        <f>IF(A30=0,"",IF('Cumulative Volumes Metric'!$AR$17=FALSE,M30,L30))</f>
        <v>6.7873293467365095</v>
      </c>
      <c r="L30" s="30">
        <f t="shared" si="11"/>
        <v>6.7873293467365095</v>
      </c>
      <c r="M30" s="30">
        <f t="shared" si="2"/>
        <v>6.7678018755045102</v>
      </c>
      <c r="N30" s="30">
        <f>IF(($E$8/25.4)+45+($E$9/25.4)&gt;989,"FALSE",IF(A30="","",IF('Cumulative Volumes Metric'!$AR$17=FALSE,P30,O30)))</f>
        <v>693.68463626787468</v>
      </c>
      <c r="O30" s="30">
        <f t="shared" si="12"/>
        <v>693.68463626787468</v>
      </c>
      <c r="P30" s="30">
        <f>IF(A30=0,"",IF('Cumulative Volumes Metric'!$AR$17=FALSE,(U30*$E$4)+(V30*$E$5),O30))</f>
        <v>693.68463626787468</v>
      </c>
      <c r="Q30" s="30">
        <f>IF(A30=0,"",(((25.4/1000)*'Metric Data'!$AC$4*'Metric Data'!$AC$5)-D30)*($E$6/100))</f>
        <v>5.1355305741922722E-2</v>
      </c>
      <c r="R30" s="30">
        <f t="shared" si="3"/>
        <v>5.1355305741922725</v>
      </c>
      <c r="S30" s="30">
        <f>IF(A30=0,"",(((25.4/1000)*'Metric Data'!$AC$5*'Metric Data'!$AC$7)-E30)*($E$6/100))</f>
        <v>3.1072239008472113E-2</v>
      </c>
      <c r="T30" s="30">
        <f t="shared" si="4"/>
        <v>0.31072239008472113</v>
      </c>
      <c r="U30" s="30">
        <f t="shared" si="5"/>
        <v>6.6491627051943958</v>
      </c>
      <c r="V30" s="30">
        <f t="shared" si="6"/>
        <v>2.7499080118355499</v>
      </c>
      <c r="W30" s="30">
        <f t="shared" si="7"/>
        <v>101.651</v>
      </c>
    </row>
    <row r="31" spans="1:23" x14ac:dyDescent="0.2">
      <c r="A31" s="34">
        <f t="shared" si="13"/>
        <v>64</v>
      </c>
      <c r="B31" s="34">
        <v>18</v>
      </c>
      <c r="C31" s="34">
        <f t="shared" si="8"/>
        <v>1625.6</v>
      </c>
      <c r="D31" s="80">
        <f>IF(A31=0,"",IF('Metric Data'!AG20&gt;=1, INDEX(Metric_Incremental[], MATCH('Metric Data'!AG20, Metric_Incremental[Height], 1), MATCH('Cumulative Volumes Metric'!$F$4, Metric_Incremental[#Headers], 0)), 0))</f>
        <v>2.1000672801925548E-2</v>
      </c>
      <c r="E31" s="80">
        <f>IF(A31=0,"",IF('Metric Data'!AG20&gt;=1, INDEX(Metric_Incremental[], MATCH('Metric Data'!AG20, Metric_Incremental[Height], 1), MATCH('Cumulative Volumes Metric'!$F$4 &amp; "EC", Metric_Incremental[#Headers], 0)), 0))</f>
        <v>2.9826640237858612E-3</v>
      </c>
      <c r="F31" s="30">
        <f t="shared" si="9"/>
        <v>2.1000672801925546</v>
      </c>
      <c r="G31" s="30">
        <f t="shared" si="0"/>
        <v>2.9826640237858613E-2</v>
      </c>
      <c r="H31" s="30">
        <f>IF(A31=0,"",IF('Cumulative Volumes Metric'!$AR$17=FALSE,J31,I31))</f>
        <v>5.1424424318278348</v>
      </c>
      <c r="I31" s="30">
        <f t="shared" si="10"/>
        <v>5.1424424318278348</v>
      </c>
      <c r="J31" s="30">
        <f t="shared" si="1"/>
        <v>5.1229149605958346</v>
      </c>
      <c r="K31" s="30">
        <f>IF(A31=0,"",IF('Cumulative Volumes Metric'!$AR$17=FALSE,M31,L31))</f>
        <v>7.2723363522582476</v>
      </c>
      <c r="L31" s="30">
        <f t="shared" si="11"/>
        <v>7.2723363522582476</v>
      </c>
      <c r="M31" s="30">
        <f t="shared" si="2"/>
        <v>7.2528088810262474</v>
      </c>
      <c r="N31" s="30">
        <f>IF(($E$8/25.4)+45+($E$9/25.4)&gt;989,"FALSE",IF(A31="","",IF('Cumulative Volumes Metric'!$AR$17=FALSE,P31,O31)))</f>
        <v>686.89730692113812</v>
      </c>
      <c r="O31" s="30">
        <f t="shared" si="12"/>
        <v>686.89730692113812</v>
      </c>
      <c r="P31" s="30">
        <f>IF(A31=0,"",IF('Cumulative Volumes Metric'!$AR$17=FALSE,(U31*$E$4)+(V31*$E$5),O31))</f>
        <v>686.89730692113812</v>
      </c>
      <c r="Q31" s="30">
        <f>IF(A31=0,"",(((25.4/1000)*'Metric Data'!$AC$4*'Metric Data'!$AC$5)-D31)*($E$6/100))</f>
        <v>4.8147141279229783E-2</v>
      </c>
      <c r="R31" s="30">
        <f t="shared" si="3"/>
        <v>4.8147141279229784</v>
      </c>
      <c r="S31" s="30">
        <f>IF(A31=0,"",(((25.4/1000)*'Metric Data'!$AC$5*'Metric Data'!$AC$7)-E31)*($E$6/100))</f>
        <v>3.082008326728565E-2</v>
      </c>
      <c r="T31" s="30">
        <f t="shared" si="4"/>
        <v>0.30820083267285647</v>
      </c>
      <c r="U31" s="30">
        <f t="shared" si="5"/>
        <v>6.58482713780728</v>
      </c>
      <c r="V31" s="30">
        <f t="shared" si="6"/>
        <v>2.7164834981562582</v>
      </c>
      <c r="W31" s="30">
        <f t="shared" si="7"/>
        <v>101.62560000000001</v>
      </c>
    </row>
    <row r="32" spans="1:23" x14ac:dyDescent="0.2">
      <c r="A32" s="34">
        <f t="shared" si="13"/>
        <v>63</v>
      </c>
      <c r="B32" s="34">
        <v>19</v>
      </c>
      <c r="C32" s="34">
        <f t="shared" si="8"/>
        <v>1600.1999999999998</v>
      </c>
      <c r="D32" s="80">
        <f>IF(A32=0,"",IF('Metric Data'!AG21&gt;=1, INDEX(Metric_Incremental[], MATCH('Metric Data'!AG21, Metric_Incremental[Height], 1), MATCH('Cumulative Volumes Metric'!$F$4, Metric_Incremental[#Headers], 0)), 0))</f>
        <v>3.1045550899051057E-2</v>
      </c>
      <c r="E32" s="80">
        <f>IF(A32=0,"",IF('Metric Data'!AG21&gt;=1, INDEX(Metric_Incremental[], MATCH('Metric Data'!AG21, Metric_Incremental[Height], 1), MATCH('Cumulative Volumes Metric'!$F$4 &amp; "EC", Metric_Incremental[#Headers], 0)), 0))</f>
        <v>3.7492280900467295E-3</v>
      </c>
      <c r="F32" s="30">
        <f t="shared" si="9"/>
        <v>3.1045550899051055</v>
      </c>
      <c r="G32" s="30">
        <f t="shared" si="0"/>
        <v>3.7492280900467294E-2</v>
      </c>
      <c r="H32" s="30">
        <f>IF(A32=0,"",IF('Cumulative Volumes Metric'!$AR$17=FALSE,J32,I32))</f>
        <v>4.737581051677771</v>
      </c>
      <c r="I32" s="30">
        <f t="shared" si="10"/>
        <v>4.737581051677771</v>
      </c>
      <c r="J32" s="30">
        <f t="shared" si="1"/>
        <v>4.7180535804457699</v>
      </c>
      <c r="K32" s="30">
        <f>IF(A32=0,"",IF('Cumulative Volumes Metric'!$AR$17=FALSE,M32,L32))</f>
        <v>7.8796284224833446</v>
      </c>
      <c r="L32" s="30">
        <f t="shared" si="11"/>
        <v>7.8796284224833446</v>
      </c>
      <c r="M32" s="30">
        <f t="shared" si="2"/>
        <v>7.8601009512513427</v>
      </c>
      <c r="N32" s="30">
        <f>IF(($E$8/25.4)+45+($E$9/25.4)&gt;989,"FALSE",IF(A32="","",IF('Cumulative Volumes Metric'!$AR$17=FALSE,P32,O32)))</f>
        <v>679.62497056887992</v>
      </c>
      <c r="O32" s="30">
        <f t="shared" si="12"/>
        <v>679.62497056887992</v>
      </c>
      <c r="P32" s="30">
        <f>IF(A32=0,"",IF('Cumulative Volumes Metric'!$AR$17=FALSE,(U32*$E$4)+(V32*$E$5),O32))</f>
        <v>679.62497056887992</v>
      </c>
      <c r="Q32" s="30">
        <f>IF(A32=0,"",(((25.4/1000)*'Metric Data'!$AC$4*'Metric Data'!$AC$5)-D32)*($E$6/100))</f>
        <v>4.4129190040379573E-2</v>
      </c>
      <c r="R32" s="30">
        <f t="shared" si="3"/>
        <v>4.4129190040379571</v>
      </c>
      <c r="S32" s="30">
        <f>IF(A32=0,"",(((25.4/1000)*'Metric Data'!$AC$5*'Metric Data'!$AC$7)-E32)*($E$6/100))</f>
        <v>3.05134576407813E-2</v>
      </c>
      <c r="T32" s="30">
        <f t="shared" si="4"/>
        <v>0.305134576407813</v>
      </c>
      <c r="U32" s="30">
        <f t="shared" si="5"/>
        <v>6.5156793237261255</v>
      </c>
      <c r="V32" s="30">
        <f t="shared" si="6"/>
        <v>2.6826807508651864</v>
      </c>
      <c r="W32" s="30">
        <f t="shared" si="7"/>
        <v>101.6002</v>
      </c>
    </row>
    <row r="33" spans="1:23" x14ac:dyDescent="0.2">
      <c r="A33" s="34">
        <f t="shared" si="13"/>
        <v>62</v>
      </c>
      <c r="B33" s="34">
        <v>20</v>
      </c>
      <c r="C33" s="34">
        <f t="shared" si="8"/>
        <v>1574.8</v>
      </c>
      <c r="D33" s="80">
        <f>IF(A33=0,"",IF('Metric Data'!AG22&gt;=1, INDEX(Metric_Incremental[], MATCH('Metric Data'!AG22, Metric_Incremental[Height], 1), MATCH('Cumulative Volumes Metric'!$F$4, Metric_Incremental[#Headers], 0)), 0))</f>
        <v>3.7334957949880093E-2</v>
      </c>
      <c r="E33" s="80">
        <f>IF(A33=0,"",IF('Metric Data'!AG22&gt;=1, INDEX(Metric_Incremental[], MATCH('Metric Data'!AG22, Metric_Incremental[Height], 1), MATCH('Cumulative Volumes Metric'!$F$4 &amp; "EC", Metric_Incremental[#Headers], 0)), 0))</f>
        <v>4.5587149936288955E-3</v>
      </c>
      <c r="F33" s="30">
        <f t="shared" si="9"/>
        <v>3.7334957949880092</v>
      </c>
      <c r="G33" s="30">
        <f t="shared" si="0"/>
        <v>4.5587149936288957E-2</v>
      </c>
      <c r="H33" s="30">
        <f>IF(A33=0,"",IF('Cumulative Volumes Metric'!$AR$17=FALSE,J33,I33))</f>
        <v>4.482766822030281</v>
      </c>
      <c r="I33" s="30">
        <f t="shared" si="10"/>
        <v>4.482766822030281</v>
      </c>
      <c r="J33" s="30">
        <f t="shared" si="1"/>
        <v>4.4632393507982799</v>
      </c>
      <c r="K33" s="30">
        <f>IF(A33=0,"",IF('Cumulative Volumes Metric'!$AR$17=FALSE,M33,L33))</f>
        <v>8.2618497669545796</v>
      </c>
      <c r="L33" s="30">
        <f t="shared" si="11"/>
        <v>8.2618497669545796</v>
      </c>
      <c r="M33" s="30">
        <f t="shared" si="2"/>
        <v>8.2423222957225786</v>
      </c>
      <c r="N33" s="30">
        <f>IF(($E$8/25.4)+45+($E$9/25.4)&gt;989,"FALSE",IF(A33="","",IF('Cumulative Volumes Metric'!$AR$17=FALSE,P33,O33)))</f>
        <v>671.74534214639652</v>
      </c>
      <c r="O33" s="30">
        <f t="shared" si="12"/>
        <v>671.74534214639652</v>
      </c>
      <c r="P33" s="30">
        <f>IF(A33=0,"",IF('Cumulative Volumes Metric'!$AR$17=FALSE,(U33*$E$4)+(V33*$E$5),O33))</f>
        <v>671.74534214639652</v>
      </c>
      <c r="Q33" s="30">
        <f>IF(A33=0,"",(((25.4/1000)*'Metric Data'!$AC$4*'Metric Data'!$AC$5)-D33)*($E$6/100))</f>
        <v>4.161342722004796E-2</v>
      </c>
      <c r="R33" s="30">
        <f t="shared" si="3"/>
        <v>4.1613427220047958</v>
      </c>
      <c r="S33" s="30">
        <f>IF(A33=0,"",(((25.4/1000)*'Metric Data'!$AC$5*'Metric Data'!$AC$7)-E33)*($E$6/100))</f>
        <v>3.0189662879348433E-2</v>
      </c>
      <c r="T33" s="30">
        <f t="shared" si="4"/>
        <v>0.30189662879348433</v>
      </c>
      <c r="U33" s="30">
        <f t="shared" si="5"/>
        <v>6.4405045827866942</v>
      </c>
      <c r="V33" s="30">
        <f t="shared" si="6"/>
        <v>2.6484180651343583</v>
      </c>
      <c r="W33" s="30">
        <f t="shared" si="7"/>
        <v>101.5748</v>
      </c>
    </row>
    <row r="34" spans="1:23" x14ac:dyDescent="0.2">
      <c r="A34" s="34">
        <f t="shared" si="13"/>
        <v>61</v>
      </c>
      <c r="B34" s="34">
        <v>21</v>
      </c>
      <c r="C34" s="34">
        <f t="shared" si="8"/>
        <v>1549.3999999999999</v>
      </c>
      <c r="D34" s="80">
        <f>IF(A34=0,"",IF('Metric Data'!AG23&gt;=1, INDEX(Metric_Incremental[], MATCH('Metric Data'!AG23, Metric_Incremental[Height], 1), MATCH('Cumulative Volumes Metric'!$F$4, Metric_Incremental[#Headers], 0)), 0))</f>
        <v>4.2424797394874092E-2</v>
      </c>
      <c r="E34" s="80">
        <f>IF(A34=0,"",IF('Metric Data'!AG23&gt;=1, INDEX(Metric_Incremental[], MATCH('Metric Data'!AG23, Metric_Incremental[Height], 1), MATCH('Cumulative Volumes Metric'!$F$4 &amp; "EC", Metric_Incremental[#Headers], 0)), 0))</f>
        <v>5.3430046722354567E-3</v>
      </c>
      <c r="F34" s="30">
        <f t="shared" si="9"/>
        <v>4.2424797394874094</v>
      </c>
      <c r="G34" s="30">
        <f t="shared" si="0"/>
        <v>5.3430046722354567E-2</v>
      </c>
      <c r="H34" s="30">
        <f>IF(A34=0,"",IF('Cumulative Volumes Metric'!$AR$17=FALSE,J34,I34))</f>
        <v>4.2760360855160942</v>
      </c>
      <c r="I34" s="30">
        <f t="shared" si="10"/>
        <v>4.2760360855160942</v>
      </c>
      <c r="J34" s="30">
        <f t="shared" si="1"/>
        <v>4.256508614284094</v>
      </c>
      <c r="K34" s="30">
        <f>IF(A34=0,"",IF('Cumulative Volumes Metric'!$AR$17=FALSE,M34,L34))</f>
        <v>8.571945871725859</v>
      </c>
      <c r="L34" s="30">
        <f t="shared" si="11"/>
        <v>8.571945871725859</v>
      </c>
      <c r="M34" s="30">
        <f t="shared" si="2"/>
        <v>8.5524184004938579</v>
      </c>
      <c r="N34" s="30">
        <f>IF(($E$8/25.4)+45+($E$9/25.4)&gt;989,"FALSE",IF(A34="","",IF('Cumulative Volumes Metric'!$AR$17=FALSE,P34,O34)))</f>
        <v>663.48349237944194</v>
      </c>
      <c r="O34" s="30">
        <f t="shared" si="12"/>
        <v>663.48349237944194</v>
      </c>
      <c r="P34" s="30">
        <f>IF(A34=0,"",IF('Cumulative Volumes Metric'!$AR$17=FALSE,(U34*$E$4)+(V34*$E$5),O34))</f>
        <v>663.48349237944194</v>
      </c>
      <c r="Q34" s="30">
        <f>IF(A34=0,"",(((25.4/1000)*'Metric Data'!$AC$4*'Metric Data'!$AC$5)-D34)*($E$6/100))</f>
        <v>3.9577491442050361E-2</v>
      </c>
      <c r="R34" s="30">
        <f t="shared" si="3"/>
        <v>3.9577491442050361</v>
      </c>
      <c r="S34" s="30">
        <f>IF(A34=0,"",(((25.4/1000)*'Metric Data'!$AC$5*'Metric Data'!$AC$7)-E34)*($E$6/100))</f>
        <v>2.9875947007905808E-2</v>
      </c>
      <c r="T34" s="30">
        <f t="shared" si="4"/>
        <v>0.29875947007905806</v>
      </c>
      <c r="U34" s="30">
        <f t="shared" si="5"/>
        <v>6.3615561976167667</v>
      </c>
      <c r="V34" s="30">
        <f t="shared" si="6"/>
        <v>2.6136696872613809</v>
      </c>
      <c r="W34" s="30">
        <f t="shared" si="7"/>
        <v>101.54940000000001</v>
      </c>
    </row>
    <row r="35" spans="1:23" x14ac:dyDescent="0.2">
      <c r="A35" s="34">
        <f t="shared" si="13"/>
        <v>60</v>
      </c>
      <c r="B35" s="34">
        <v>22</v>
      </c>
      <c r="C35" s="34">
        <f t="shared" si="8"/>
        <v>1524</v>
      </c>
      <c r="D35" s="80">
        <f>IF(A35=0,"",IF('Metric Data'!AG24&gt;=1, INDEX(Metric_Incremental[], MATCH('Metric Data'!AG24, Metric_Incremental[Height], 1), MATCH('Cumulative Volumes Metric'!$F$4, Metric_Incremental[#Headers], 0)), 0))</f>
        <v>4.6849492566898403E-2</v>
      </c>
      <c r="E35" s="80">
        <f>IF(A35=0,"",IF('Metric Data'!AG24&gt;=1, INDEX(Metric_Incremental[], MATCH('Metric Data'!AG24, Metric_Incremental[Height], 1), MATCH('Cumulative Volumes Metric'!$F$4 &amp; "EC", Metric_Incremental[#Headers], 0)), 0))</f>
        <v>6.1878889990090091E-3</v>
      </c>
      <c r="F35" s="30">
        <f t="shared" si="9"/>
        <v>4.6849492566898405</v>
      </c>
      <c r="G35" s="30">
        <f t="shared" si="0"/>
        <v>6.1878889990090093E-2</v>
      </c>
      <c r="H35" s="30">
        <f>IF(A35=0,"",IF('Cumulative Volumes Metric'!$AR$17=FALSE,J35,I35))</f>
        <v>4.0956687413280282</v>
      </c>
      <c r="I35" s="30">
        <f t="shared" si="10"/>
        <v>4.0956687413280282</v>
      </c>
      <c r="J35" s="30">
        <f t="shared" si="1"/>
        <v>4.076141270096028</v>
      </c>
      <c r="K35" s="30">
        <f>IF(A35=0,"",IF('Cumulative Volumes Metric'!$AR$17=FALSE,M35,L35))</f>
        <v>8.8424968880079593</v>
      </c>
      <c r="L35" s="30">
        <f t="shared" si="11"/>
        <v>8.8424968880079593</v>
      </c>
      <c r="M35" s="30">
        <f t="shared" si="2"/>
        <v>8.8229694167759583</v>
      </c>
      <c r="N35" s="30">
        <f>IF(($E$8/25.4)+45+($E$9/25.4)&gt;989,"FALSE",IF(A35="","",IF('Cumulative Volumes Metric'!$AR$17=FALSE,P35,O35)))</f>
        <v>654.91154650771614</v>
      </c>
      <c r="O35" s="30">
        <f t="shared" si="12"/>
        <v>654.91154650771614</v>
      </c>
      <c r="P35" s="30">
        <f>IF(A35=0,"",IF('Cumulative Volumes Metric'!$AR$17=FALSE,(U35*$E$4)+(V35*$E$5),O35))</f>
        <v>654.91154650771614</v>
      </c>
      <c r="Q35" s="30">
        <f>IF(A35=0,"",(((25.4/1000)*'Metric Data'!$AC$4*'Metric Data'!$AC$5)-D35)*($E$6/100))</f>
        <v>3.7807613373240637E-2</v>
      </c>
      <c r="R35" s="30">
        <f t="shared" si="3"/>
        <v>3.7807613373240638</v>
      </c>
      <c r="S35" s="30">
        <f>IF(A35=0,"",(((25.4/1000)*'Metric Data'!$AC$5*'Metric Data'!$AC$7)-E35)*($E$6/100))</f>
        <v>2.9537993277196389E-2</v>
      </c>
      <c r="T35" s="30">
        <f t="shared" si="4"/>
        <v>0.29537993277196389</v>
      </c>
      <c r="U35" s="30">
        <f t="shared" si="5"/>
        <v>6.2795539087798424</v>
      </c>
      <c r="V35" s="30">
        <f t="shared" si="6"/>
        <v>2.5784507355812396</v>
      </c>
      <c r="W35" s="30">
        <f t="shared" si="7"/>
        <v>101.524</v>
      </c>
    </row>
    <row r="36" spans="1:23" x14ac:dyDescent="0.2">
      <c r="A36" s="34">
        <f t="shared" si="13"/>
        <v>59</v>
      </c>
      <c r="B36" s="34">
        <v>23</v>
      </c>
      <c r="C36" s="34">
        <f>A36*25.4</f>
        <v>1498.6</v>
      </c>
      <c r="D36" s="80">
        <f>IF(A36=0,"",IF('Metric Data'!AG25&gt;=1, INDEX(Metric_Incremental[], MATCH('Metric Data'!AG25, Metric_Incremental[Height], 1), MATCH('Cumulative Volumes Metric'!$F$4, Metric_Incremental[#Headers], 0)), 0))</f>
        <v>5.0798968143848329E-2</v>
      </c>
      <c r="E36" s="80">
        <f>IF(A36=0,"",IF('Metric Data'!AG25&gt;=1, INDEX(Metric_Incremental[], MATCH('Metric Data'!AG25, Metric_Incremental[Height], 1), MATCH('Cumulative Volumes Metric'!$F$4 &amp; "EC", Metric_Incremental[#Headers], 0)), 0))</f>
        <v>6.9923460285996625E-3</v>
      </c>
      <c r="F36" s="30">
        <f t="shared" si="9"/>
        <v>5.0798968143848331</v>
      </c>
      <c r="G36" s="30">
        <f t="shared" si="0"/>
        <v>6.9923460285996622E-2</v>
      </c>
      <c r="H36" s="30">
        <f>IF(A36=0,"",IF('Cumulative Volumes Metric'!$AR$17=FALSE,J36,I36))</f>
        <v>3.9344718901316678</v>
      </c>
      <c r="I36" s="30">
        <f t="shared" si="10"/>
        <v>3.9344718901316678</v>
      </c>
      <c r="J36" s="30">
        <f t="shared" si="1"/>
        <v>3.914944418899668</v>
      </c>
      <c r="K36" s="30">
        <f>IF(A36=0,"",IF('Cumulative Volumes Metric'!$AR$17=FALSE,M36,L36))</f>
        <v>9.0842921648024983</v>
      </c>
      <c r="L36" s="30">
        <f t="shared" si="11"/>
        <v>9.0842921648024983</v>
      </c>
      <c r="M36" s="30">
        <f t="shared" si="2"/>
        <v>9.0647646935704991</v>
      </c>
      <c r="N36" s="30">
        <f>IF(($E$8/25.4)+45+($E$9/25.4)&gt;989,"FALSE",IF(A36="","",IF('Cumulative Volumes Metric'!$AR$17=FALSE,P36,O36)))</f>
        <v>646.06904961970815</v>
      </c>
      <c r="O36" s="30">
        <f t="shared" si="12"/>
        <v>646.06904961970815</v>
      </c>
      <c r="P36" s="30">
        <f>IF(A36=0,"",IF('Cumulative Volumes Metric'!$AR$17=FALSE,(U36*$E$4)+(V36*$E$5),O36))</f>
        <v>646.06904961970815</v>
      </c>
      <c r="Q36" s="30">
        <f>IF(A36=0,"",(((25.4/1000)*'Metric Data'!$AC$4*'Metric Data'!$AC$5)-D36)*($E$6/100))</f>
        <v>3.6227823142460668E-2</v>
      </c>
      <c r="R36" s="30">
        <f t="shared" si="3"/>
        <v>3.6227823142460669</v>
      </c>
      <c r="S36" s="30">
        <f>IF(A36=0,"",(((25.4/1000)*'Metric Data'!$AC$5*'Metric Data'!$AC$7)-E36)*($E$6/100))</f>
        <v>2.9216210465360128E-2</v>
      </c>
      <c r="T36" s="30">
        <f t="shared" si="4"/>
        <v>0.29216210465360126</v>
      </c>
      <c r="U36" s="30">
        <f t="shared" si="5"/>
        <v>6.1948968028397031</v>
      </c>
      <c r="V36" s="30">
        <f t="shared" si="6"/>
        <v>2.5427248533050344</v>
      </c>
      <c r="W36" s="30">
        <f t="shared" si="7"/>
        <v>101.4986</v>
      </c>
    </row>
    <row r="37" spans="1:23" x14ac:dyDescent="0.2">
      <c r="A37" s="34">
        <f t="shared" si="13"/>
        <v>58</v>
      </c>
      <c r="B37" s="34">
        <v>24</v>
      </c>
      <c r="C37" s="34">
        <f t="shared" si="8"/>
        <v>1473.1999999999998</v>
      </c>
      <c r="D37" s="80">
        <f>IF(A37=0,"",IF('Metric Data'!AG26&gt;=1, INDEX(Metric_Incremental[], MATCH('Metric Data'!AG26, Metric_Incremental[Height], 1), MATCH('Cumulative Volumes Metric'!$F$4, Metric_Incremental[#Headers], 0)), 0))</f>
        <v>5.4358033979894797E-2</v>
      </c>
      <c r="E37" s="80">
        <f>IF(A37=0,"",IF('Metric Data'!AG26&gt;=1, INDEX(Metric_Incremental[], MATCH('Metric Data'!AG26, Metric_Incremental[Height], 1), MATCH('Cumulative Volumes Metric'!$F$4 &amp; "EC", Metric_Incremental[#Headers], 0)), 0))</f>
        <v>7.7950601727311353E-3</v>
      </c>
      <c r="F37" s="30">
        <f t="shared" si="9"/>
        <v>5.4358033979894795</v>
      </c>
      <c r="G37" s="30">
        <f t="shared" si="0"/>
        <v>7.7950601727311358E-2</v>
      </c>
      <c r="H37" s="30">
        <f>IF(A37=0,"",IF('Cumulative Volumes Metric'!$AR$17=FALSE,J37,I37))</f>
        <v>3.7888984001132835</v>
      </c>
      <c r="I37" s="30">
        <f t="shared" si="10"/>
        <v>3.7888984001132835</v>
      </c>
      <c r="J37" s="30">
        <f t="shared" si="1"/>
        <v>3.7693709288812833</v>
      </c>
      <c r="K37" s="30">
        <f>IF(A37=0,"",IF('Cumulative Volumes Metric'!$AR$17=FALSE,M37,L37))</f>
        <v>9.302652399830075</v>
      </c>
      <c r="L37" s="30">
        <f t="shared" si="11"/>
        <v>9.302652399830075</v>
      </c>
      <c r="M37" s="30">
        <f t="shared" si="2"/>
        <v>9.2831249285980739</v>
      </c>
      <c r="N37" s="30">
        <f>IF(($E$8/25.4)+45+($E$9/25.4)&gt;989,"FALSE",IF(A37="","",IF('Cumulative Volumes Metric'!$AR$17=FALSE,P37,O37)))</f>
        <v>636.98475745490566</v>
      </c>
      <c r="O37" s="30">
        <f t="shared" si="12"/>
        <v>636.98475745490566</v>
      </c>
      <c r="P37" s="30">
        <f>IF(A37=0,"",IF('Cumulative Volumes Metric'!$AR$17=FALSE,(U37*$E$4)+(V37*$E$5),O37))</f>
        <v>636.98475745490566</v>
      </c>
      <c r="Q37" s="30">
        <f>IF(A37=0,"",(((25.4/1000)*'Metric Data'!$AC$4*'Metric Data'!$AC$5)-D37)*($E$6/100))</f>
        <v>3.480419680804208E-2</v>
      </c>
      <c r="R37" s="30">
        <f t="shared" si="3"/>
        <v>3.480419680804208</v>
      </c>
      <c r="S37" s="30">
        <f>IF(A37=0,"",(((25.4/1000)*'Metric Data'!$AC$5*'Metric Data'!$AC$7)-E37)*($E$6/100))</f>
        <v>2.8895124807707534E-2</v>
      </c>
      <c r="T37" s="30">
        <f t="shared" si="4"/>
        <v>0.28895124807707534</v>
      </c>
      <c r="U37" s="30">
        <f t="shared" si="5"/>
        <v>6.1078700115533939</v>
      </c>
      <c r="V37" s="30">
        <f t="shared" si="6"/>
        <v>2.5065162968110744</v>
      </c>
      <c r="W37" s="30">
        <f t="shared" si="7"/>
        <v>101.47320000000001</v>
      </c>
    </row>
    <row r="38" spans="1:23" x14ac:dyDescent="0.2">
      <c r="A38" s="34">
        <f t="shared" si="13"/>
        <v>57</v>
      </c>
      <c r="B38" s="34">
        <v>25</v>
      </c>
      <c r="C38" s="34">
        <f t="shared" si="8"/>
        <v>1447.8</v>
      </c>
      <c r="D38" s="80">
        <f>IF(A38=0,"",IF('Metric Data'!AG27&gt;=1, INDEX(Metric_Incremental[], MATCH('Metric Data'!AG27, Metric_Incremental[Height], 1), MATCH('Cumulative Volumes Metric'!$F$4, Metric_Incremental[#Headers], 0)), 0))</f>
        <v>5.7693239699844821E-2</v>
      </c>
      <c r="E38" s="80">
        <f>IF(A38=0,"",IF('Metric Data'!AG27&gt;=1, INDEX(Metric_Incremental[], MATCH('Metric Data'!AG27, Metric_Incremental[Height], 1), MATCH('Cumulative Volumes Metric'!$F$4 &amp; "EC", Metric_Incremental[#Headers], 0)), 0))</f>
        <v>8.547170041059109E-3</v>
      </c>
      <c r="F38" s="30">
        <f t="shared" si="9"/>
        <v>5.769323969984482</v>
      </c>
      <c r="G38" s="30">
        <f t="shared" si="0"/>
        <v>8.5471700410591087E-2</v>
      </c>
      <c r="H38" s="30">
        <f>IF(A38=0,"",IF('Cumulative Volumes Metric'!$AR$17=FALSE,J38,I38))</f>
        <v>3.6524817318419709</v>
      </c>
      <c r="I38" s="30">
        <f t="shared" si="10"/>
        <v>3.6524817318419709</v>
      </c>
      <c r="J38" s="30">
        <f t="shared" si="1"/>
        <v>3.6329542606099698</v>
      </c>
      <c r="K38" s="30">
        <f>IF(A38=0,"",IF('Cumulative Volumes Metric'!$AR$17=FALSE,M38,L38))</f>
        <v>9.5072774022370456</v>
      </c>
      <c r="L38" s="30">
        <f t="shared" si="11"/>
        <v>9.5072774022370456</v>
      </c>
      <c r="M38" s="30">
        <f t="shared" si="2"/>
        <v>9.4877499310050428</v>
      </c>
      <c r="N38" s="30">
        <f>IF(($E$8/25.4)+45+($E$9/25.4)&gt;989,"FALSE",IF(A38="","",IF('Cumulative Volumes Metric'!$AR$17=FALSE,P38,O38)))</f>
        <v>627.68210505507557</v>
      </c>
      <c r="O38" s="30">
        <f t="shared" si="12"/>
        <v>627.68210505507557</v>
      </c>
      <c r="P38" s="30">
        <f>IF(A38=0,"",IF('Cumulative Volumes Metric'!$AR$17=FALSE,(U38*$E$4)+(V38*$E$5),O38))</f>
        <v>627.68210505507557</v>
      </c>
      <c r="Q38" s="30">
        <f>IF(A38=0,"",(((25.4/1000)*'Metric Data'!$AC$4*'Metric Data'!$AC$5)-D38)*($E$6/100))</f>
        <v>3.3470114520062065E-2</v>
      </c>
      <c r="R38" s="30">
        <f t="shared" si="3"/>
        <v>3.3470114520062064</v>
      </c>
      <c r="S38" s="30">
        <f>IF(A38=0,"",(((25.4/1000)*'Metric Data'!$AC$5*'Metric Data'!$AC$7)-E38)*($E$6/100))</f>
        <v>2.859428086037635E-2</v>
      </c>
      <c r="T38" s="30">
        <f t="shared" si="4"/>
        <v>0.28594280860376348</v>
      </c>
      <c r="U38" s="30">
        <f t="shared" si="5"/>
        <v>6.0187077807654568</v>
      </c>
      <c r="V38" s="30">
        <f t="shared" si="6"/>
        <v>2.4698261118306357</v>
      </c>
      <c r="W38" s="30">
        <f t="shared" si="7"/>
        <v>101.4478</v>
      </c>
    </row>
    <row r="39" spans="1:23" x14ac:dyDescent="0.2">
      <c r="A39" s="34">
        <f t="shared" si="13"/>
        <v>56</v>
      </c>
      <c r="B39" s="34">
        <v>26</v>
      </c>
      <c r="C39" s="34">
        <f t="shared" si="8"/>
        <v>1422.3999999999999</v>
      </c>
      <c r="D39" s="80">
        <f>IF(A39=0,"",IF('Metric Data'!AG28&gt;=1, INDEX(Metric_Incremental[], MATCH('Metric Data'!AG28, Metric_Incremental[Height], 1), MATCH('Cumulative Volumes Metric'!$F$4, Metric_Incremental[#Headers], 0)), 0))</f>
        <v>6.0748314030864448E-2</v>
      </c>
      <c r="E39" s="80">
        <f>IF(A39=0,"",IF('Metric Data'!AG28&gt;=1, INDEX(Metric_Incremental[], MATCH('Metric Data'!AG28, Metric_Incremental[Height], 1), MATCH('Cumulative Volumes Metric'!$F$4 &amp; "EC", Metric_Incremental[#Headers], 0)), 0))</f>
        <v>9.2738385954977461E-3</v>
      </c>
      <c r="F39" s="30">
        <f t="shared" si="9"/>
        <v>6.0748314030864448</v>
      </c>
      <c r="G39" s="30">
        <f t="shared" si="0"/>
        <v>9.2738385954977465E-2</v>
      </c>
      <c r="H39" s="30">
        <f>IF(A39=0,"",IF('Cumulative Volumes Metric'!$AR$17=FALSE,J39,I39))</f>
        <v>3.5273720843834315</v>
      </c>
      <c r="I39" s="30">
        <f t="shared" si="10"/>
        <v>3.5273720843834315</v>
      </c>
      <c r="J39" s="30">
        <f t="shared" si="1"/>
        <v>3.5078446131514314</v>
      </c>
      <c r="K39" s="30">
        <f>IF(A39=0,"",IF('Cumulative Volumes Metric'!$AR$17=FALSE,M39,L39))</f>
        <v>9.6949418734248525</v>
      </c>
      <c r="L39" s="30">
        <f t="shared" si="11"/>
        <v>9.6949418734248525</v>
      </c>
      <c r="M39" s="30">
        <f t="shared" si="2"/>
        <v>9.6754144021928532</v>
      </c>
      <c r="N39" s="30">
        <f>IF(($E$8/25.4)+45+($E$9/25.4)&gt;989,"FALSE",IF(A39="","",IF('Cumulative Volumes Metric'!$AR$17=FALSE,P39,O39)))</f>
        <v>618.17482765283853</v>
      </c>
      <c r="O39" s="30">
        <f t="shared" si="12"/>
        <v>618.17482765283853</v>
      </c>
      <c r="P39" s="30">
        <f>IF(A39=0,"",IF('Cumulative Volumes Metric'!$AR$17=FALSE,(U39*$E$4)+(V39*$E$5),O39))</f>
        <v>618.17482765283853</v>
      </c>
      <c r="Q39" s="30">
        <f>IF(A39=0,"",(((25.4/1000)*'Metric Data'!$AC$4*'Metric Data'!$AC$5)-D39)*($E$6/100))</f>
        <v>3.2248084787654223E-2</v>
      </c>
      <c r="R39" s="30">
        <f t="shared" si="3"/>
        <v>3.2248084787654223</v>
      </c>
      <c r="S39" s="30">
        <f>IF(A39=0,"",(((25.4/1000)*'Metric Data'!$AC$5*'Metric Data'!$AC$7)-E39)*($E$6/100))</f>
        <v>2.8303613438600897E-2</v>
      </c>
      <c r="T39" s="30">
        <f t="shared" si="4"/>
        <v>0.28303613438600894</v>
      </c>
      <c r="U39" s="30">
        <f t="shared" si="5"/>
        <v>5.9275444265455501</v>
      </c>
      <c r="V39" s="30">
        <f t="shared" si="6"/>
        <v>2.4326846609292003</v>
      </c>
      <c r="W39" s="30">
        <f t="shared" si="7"/>
        <v>101.4224</v>
      </c>
    </row>
    <row r="40" spans="1:23" x14ac:dyDescent="0.2">
      <c r="A40" s="34">
        <f t="shared" si="13"/>
        <v>55</v>
      </c>
      <c r="B40" s="34">
        <v>27</v>
      </c>
      <c r="C40" s="34">
        <f t="shared" si="8"/>
        <v>1397</v>
      </c>
      <c r="D40" s="80">
        <f>IF(A40=0,"",IF('Metric Data'!AG29&gt;=1, INDEX(Metric_Incremental[], MATCH('Metric Data'!AG29, Metric_Incremental[Height], 1), MATCH('Cumulative Volumes Metric'!$F$4, Metric_Incremental[#Headers], 0)), 0))</f>
        <v>6.3647104629761156E-2</v>
      </c>
      <c r="E40" s="80">
        <f>IF(A40=0,"",IF('Metric Data'!AG29&gt;=1, INDEX(Metric_Incremental[], MATCH('Metric Data'!AG29, Metric_Incremental[Height], 1), MATCH('Cumulative Volumes Metric'!$F$4 &amp; "EC", Metric_Incremental[#Headers], 0)), 0))</f>
        <v>1.0038376044173736E-2</v>
      </c>
      <c r="F40" s="30">
        <f t="shared" si="9"/>
        <v>6.3647104629761158</v>
      </c>
      <c r="G40" s="30">
        <f t="shared" si="0"/>
        <v>0.10038376044173736</v>
      </c>
      <c r="H40" s="30">
        <f>IF(A40=0,"",IF('Cumulative Volumes Metric'!$AR$17=FALSE,J40,I40))</f>
        <v>3.4083623106328589</v>
      </c>
      <c r="I40" s="30">
        <f t="shared" si="10"/>
        <v>3.4083623106328589</v>
      </c>
      <c r="J40" s="30">
        <f t="shared" si="1"/>
        <v>3.3888348394008587</v>
      </c>
      <c r="K40" s="30">
        <f>IF(A40=0,"",IF('Cumulative Volumes Metric'!$AR$17=FALSE,M40,L40))</f>
        <v>9.8734565340507121</v>
      </c>
      <c r="L40" s="30">
        <f t="shared" si="11"/>
        <v>9.8734565340507121</v>
      </c>
      <c r="M40" s="30">
        <f t="shared" si="2"/>
        <v>9.8539290628187111</v>
      </c>
      <c r="N40" s="30">
        <f>IF(($E$8/25.4)+45+($E$9/25.4)&gt;989,"FALSE",IF(A40="","",IF('Cumulative Volumes Metric'!$AR$17=FALSE,P40,O40)))</f>
        <v>608.47988577941373</v>
      </c>
      <c r="O40" s="30">
        <f t="shared" si="12"/>
        <v>608.47988577941373</v>
      </c>
      <c r="P40" s="30">
        <f>IF(A40=0,"",IF('Cumulative Volumes Metric'!$AR$17=FALSE,(U40*$E$4)+(V40*$E$5),O40))</f>
        <v>608.47988577941373</v>
      </c>
      <c r="Q40" s="30">
        <f>IF(A40=0,"",(((25.4/1000)*'Metric Data'!$AC$4*'Metric Data'!$AC$5)-D40)*($E$6/100))</f>
        <v>3.1088568548095538E-2</v>
      </c>
      <c r="R40" s="30">
        <f t="shared" si="3"/>
        <v>3.1088568548095536</v>
      </c>
      <c r="S40" s="30">
        <f>IF(A40=0,"",(((25.4/1000)*'Metric Data'!$AC$5*'Metric Data'!$AC$7)-E40)*($E$6/100))</f>
        <v>2.7997798459130498E-2</v>
      </c>
      <c r="T40" s="30">
        <f t="shared" si="4"/>
        <v>0.27997798459130496</v>
      </c>
      <c r="U40" s="30">
        <f t="shared" si="5"/>
        <v>5.8345480277270312</v>
      </c>
      <c r="V40" s="30">
        <f t="shared" si="6"/>
        <v>2.3951072088951015</v>
      </c>
      <c r="W40" s="30">
        <f t="shared" si="7"/>
        <v>101.39700000000001</v>
      </c>
    </row>
    <row r="41" spans="1:23" x14ac:dyDescent="0.2">
      <c r="A41" s="34">
        <f t="shared" si="13"/>
        <v>54</v>
      </c>
      <c r="B41" s="34">
        <v>28</v>
      </c>
      <c r="C41" s="34">
        <f t="shared" si="8"/>
        <v>1371.6</v>
      </c>
      <c r="D41" s="80">
        <f>IF(A41=0,"",IF('Metric Data'!AG30&gt;=1, INDEX(Metric_Incremental[], MATCH('Metric Data'!AG30, Metric_Incremental[Height], 1), MATCH('Cumulative Volumes Metric'!$F$4, Metric_Incremental[#Headers], 0)), 0))</f>
        <v>6.6349799801783904E-2</v>
      </c>
      <c r="E41" s="80">
        <f>IF(A41=0,"",IF('Metric Data'!AG30&gt;=1, INDEX(Metric_Incremental[], MATCH('Metric Data'!AG30, Metric_Incremental[Height], 1), MATCH('Cumulative Volumes Metric'!$F$4 &amp; "EC", Metric_Incremental[#Headers], 0)), 0))</f>
        <v>1.0865043182783521E-2</v>
      </c>
      <c r="F41" s="30">
        <f t="shared" si="9"/>
        <v>6.6349799801783904</v>
      </c>
      <c r="G41" s="30">
        <f t="shared" si="0"/>
        <v>0.10865043182783521</v>
      </c>
      <c r="H41" s="30">
        <f>IF(A41=0,"",IF('Cumulative Volumes Metric'!$AR$17=FALSE,J41,I41))</f>
        <v>3.2969478351975092</v>
      </c>
      <c r="I41" s="30">
        <f t="shared" si="10"/>
        <v>3.2969478351975092</v>
      </c>
      <c r="J41" s="30">
        <f t="shared" si="1"/>
        <v>3.2774203639655095</v>
      </c>
      <c r="K41" s="30">
        <f>IF(A41=0,"",IF('Cumulative Volumes Metric'!$AR$17=FALSE,M41,L41))</f>
        <v>10.040578247203735</v>
      </c>
      <c r="L41" s="30">
        <f t="shared" si="11"/>
        <v>10.040578247203735</v>
      </c>
      <c r="M41" s="30">
        <f t="shared" si="2"/>
        <v>10.021050775971736</v>
      </c>
      <c r="N41" s="30">
        <f>IF(($E$8/25.4)+45+($E$9/25.4)&gt;989,"FALSE",IF(A41="","",IF('Cumulative Volumes Metric'!$AR$17=FALSE,P41,O41)))</f>
        <v>598.60642924536307</v>
      </c>
      <c r="O41" s="30">
        <f t="shared" si="12"/>
        <v>598.60642924536307</v>
      </c>
      <c r="P41" s="30">
        <f>IF(A41=0,"",IF('Cumulative Volumes Metric'!$AR$17=FALSE,(U41*$E$4)+(V41*$E$5),O41))</f>
        <v>598.60642924536307</v>
      </c>
      <c r="Q41" s="30">
        <f>IF(A41=0,"",(((25.4/1000)*'Metric Data'!$AC$4*'Metric Data'!$AC$5)-D41)*($E$6/100))</f>
        <v>3.0007490479286438E-2</v>
      </c>
      <c r="R41" s="30">
        <f t="shared" si="3"/>
        <v>3.0007490479286436</v>
      </c>
      <c r="S41" s="30">
        <f>IF(A41=0,"",(((25.4/1000)*'Metric Data'!$AC$5*'Metric Data'!$AC$7)-E41)*($E$6/100))</f>
        <v>2.7667131603686584E-2</v>
      </c>
      <c r="T41" s="30">
        <f t="shared" si="4"/>
        <v>0.27667131603686584</v>
      </c>
      <c r="U41" s="30">
        <f t="shared" si="5"/>
        <v>5.7398123545491746</v>
      </c>
      <c r="V41" s="30">
        <f t="shared" si="6"/>
        <v>2.3570710343917973</v>
      </c>
      <c r="W41" s="30">
        <f t="shared" si="7"/>
        <v>101.3716</v>
      </c>
    </row>
    <row r="42" spans="1:23" x14ac:dyDescent="0.2">
      <c r="A42" s="34">
        <f t="shared" si="13"/>
        <v>53</v>
      </c>
      <c r="B42" s="34">
        <v>29</v>
      </c>
      <c r="C42" s="34">
        <f t="shared" si="8"/>
        <v>1346.1999999999998</v>
      </c>
      <c r="D42" s="80">
        <f>IF(A42=0,"",IF('Metric Data'!AG31&gt;=1, INDEX(Metric_Incremental[], MATCH('Metric Data'!AG31, Metric_Incremental[Height], 1), MATCH('Cumulative Volumes Metric'!$F$4, Metric_Incremental[#Headers], 0)), 0))</f>
        <v>6.890695087073484E-2</v>
      </c>
      <c r="E42" s="80">
        <f>IF(A42=0,"",IF('Metric Data'!AG31&gt;=1, INDEX(Metric_Incremental[], MATCH('Metric Data'!AG31, Metric_Incremental[Height], 1), MATCH('Cumulative Volumes Metric'!$F$4 &amp; "EC", Metric_Incremental[#Headers], 0)), 0))</f>
        <v>1.158698201897212E-2</v>
      </c>
      <c r="F42" s="30">
        <f t="shared" si="9"/>
        <v>6.8906950870734835</v>
      </c>
      <c r="G42" s="30">
        <f t="shared" si="0"/>
        <v>0.1158698201897212</v>
      </c>
      <c r="H42" s="30">
        <f>IF(A42=0,"",IF('Cumulative Volumes Metric'!$AR$17=FALSE,J42,I42))</f>
        <v>3.1917740370947176</v>
      </c>
      <c r="I42" s="30">
        <f t="shared" si="10"/>
        <v>3.1917740370947176</v>
      </c>
      <c r="J42" s="30">
        <f t="shared" si="1"/>
        <v>3.1722465658627175</v>
      </c>
      <c r="K42" s="30">
        <f>IF(A42=0,"",IF('Cumulative Volumes Metric'!$AR$17=FALSE,M42,L42))</f>
        <v>10.198338944357921</v>
      </c>
      <c r="L42" s="30">
        <f t="shared" si="11"/>
        <v>10.198338944357921</v>
      </c>
      <c r="M42" s="30">
        <f t="shared" si="2"/>
        <v>10.178811473125922</v>
      </c>
      <c r="N42" s="30">
        <f>IF(($E$8/25.4)+45+($E$9/25.4)&gt;989,"FALSE",IF(A42="","",IF('Cumulative Volumes Metric'!$AR$17=FALSE,P42,O42)))</f>
        <v>588.56585099815936</v>
      </c>
      <c r="O42" s="30">
        <f t="shared" si="12"/>
        <v>588.56585099815936</v>
      </c>
      <c r="P42" s="30">
        <f>IF(A42=0,"",IF('Cumulative Volumes Metric'!$AR$17=FALSE,(U42*$E$4)+(V42*$E$5),O42))</f>
        <v>588.56585099815936</v>
      </c>
      <c r="Q42" s="30">
        <f>IF(A42=0,"",(((25.4/1000)*'Metric Data'!$AC$4*'Metric Data'!$AC$5)-D42)*($E$6/100))</f>
        <v>2.8984630051706064E-2</v>
      </c>
      <c r="R42" s="30">
        <f t="shared" si="3"/>
        <v>2.8984630051706062</v>
      </c>
      <c r="S42" s="30">
        <f>IF(A42=0,"",(((25.4/1000)*'Metric Data'!$AC$5*'Metric Data'!$AC$7)-E42)*($E$6/100))</f>
        <v>2.7378356069211143E-2</v>
      </c>
      <c r="T42" s="30">
        <f t="shared" si="4"/>
        <v>0.27378356069211141</v>
      </c>
      <c r="U42" s="30">
        <f t="shared" si="5"/>
        <v>5.6434550642681041</v>
      </c>
      <c r="V42" s="30">
        <f t="shared" si="6"/>
        <v>2.3185388596053271</v>
      </c>
      <c r="W42" s="30">
        <f t="shared" si="7"/>
        <v>101.3462</v>
      </c>
    </row>
    <row r="43" spans="1:23" x14ac:dyDescent="0.2">
      <c r="A43" s="34">
        <f t="shared" si="13"/>
        <v>52</v>
      </c>
      <c r="B43" s="34">
        <v>30</v>
      </c>
      <c r="C43" s="34">
        <f t="shared" si="8"/>
        <v>1320.8</v>
      </c>
      <c r="D43" s="80">
        <f>IF(A43=0,"",IF('Metric Data'!AG32&gt;=1, INDEX(Metric_Incremental[], MATCH('Metric Data'!AG32, Metric_Incremental[Height], 1), MATCH('Cumulative Volumes Metric'!$F$4, Metric_Incremental[#Headers], 0)), 0))</f>
        <v>7.1331230638538967E-2</v>
      </c>
      <c r="E43" s="80">
        <f>IF(A43=0,"",IF('Metric Data'!AG32&gt;=1, INDEX(Metric_Incremental[], MATCH('Metric Data'!AG32, Metric_Incremental[Height], 1), MATCH('Cumulative Volumes Metric'!$F$4 &amp; "EC", Metric_Incremental[#Headers], 0)), 0))</f>
        <v>1.2484225966303294E-2</v>
      </c>
      <c r="F43" s="30">
        <f t="shared" si="9"/>
        <v>7.1331230638538967</v>
      </c>
      <c r="G43" s="30">
        <f t="shared" si="0"/>
        <v>0.12484225966303295</v>
      </c>
      <c r="H43" s="30">
        <f>IF(A43=0,"",IF('Cumulative Volumes Metric'!$AR$17=FALSE,J43,I43))</f>
        <v>3.0912138705932279</v>
      </c>
      <c r="I43" s="30">
        <f t="shared" si="10"/>
        <v>3.0912138705932279</v>
      </c>
      <c r="J43" s="30">
        <f t="shared" si="1"/>
        <v>3.0716863993612282</v>
      </c>
      <c r="K43" s="30">
        <f>IF(A43=0,"",IF('Cumulative Volumes Metric'!$AR$17=FALSE,M43,L43))</f>
        <v>10.349179194110159</v>
      </c>
      <c r="L43" s="30">
        <f t="shared" si="11"/>
        <v>10.349179194110159</v>
      </c>
      <c r="M43" s="30">
        <f t="shared" si="2"/>
        <v>10.329651722878157</v>
      </c>
      <c r="N43" s="30">
        <f>IF(($E$8/25.4)+45+($E$9/25.4)&gt;989,"FALSE",IF(A43="","",IF('Cumulative Volumes Metric'!$AR$17=FALSE,P43,O43)))</f>
        <v>578.36751205380142</v>
      </c>
      <c r="O43" s="30">
        <f t="shared" si="12"/>
        <v>578.36751205380142</v>
      </c>
      <c r="P43" s="30">
        <f>IF(A43=0,"",IF('Cumulative Volumes Metric'!$AR$17=FALSE,(U43*$E$4)+(V43*$E$5),O43))</f>
        <v>578.36751205380142</v>
      </c>
      <c r="Q43" s="30">
        <f>IF(A43=0,"",(((25.4/1000)*'Metric Data'!$AC$4*'Metric Data'!$AC$5)-D43)*($E$6/100))</f>
        <v>2.8014918144584414E-2</v>
      </c>
      <c r="R43" s="30">
        <f t="shared" si="3"/>
        <v>2.8014918144584415</v>
      </c>
      <c r="S43" s="30">
        <f>IF(A43=0,"",(((25.4/1000)*'Metric Data'!$AC$5*'Metric Data'!$AC$7)-E43)*($E$6/100))</f>
        <v>2.7019458490278675E-2</v>
      </c>
      <c r="T43" s="30">
        <f t="shared" si="4"/>
        <v>0.27019458490278675</v>
      </c>
      <c r="U43" s="30">
        <f t="shared" si="5"/>
        <v>5.5455634833456626</v>
      </c>
      <c r="V43" s="30">
        <f t="shared" si="6"/>
        <v>2.2795735215171438</v>
      </c>
      <c r="W43" s="30">
        <f t="shared" si="7"/>
        <v>101.32080000000001</v>
      </c>
    </row>
    <row r="44" spans="1:23" x14ac:dyDescent="0.2">
      <c r="A44" s="34">
        <f t="shared" si="13"/>
        <v>51</v>
      </c>
      <c r="B44" s="34">
        <v>31</v>
      </c>
      <c r="C44" s="34">
        <f t="shared" si="8"/>
        <v>1295.3999999999999</v>
      </c>
      <c r="D44" s="80">
        <f>IF(A44=0,"",IF('Metric Data'!AG33&gt;=1, INDEX(Metric_Incremental[], MATCH('Metric Data'!AG33, Metric_Incremental[Height], 1), MATCH('Cumulative Volumes Metric'!$F$4, Metric_Incremental[#Headers], 0)), 0))</f>
        <v>7.3639239699844414E-2</v>
      </c>
      <c r="E44" s="80">
        <f>IF(A44=0,"",IF('Metric Data'!AG33&gt;=1, INDEX(Metric_Incremental[], MATCH('Metric Data'!AG33, Metric_Incremental[Height], 1), MATCH('Cumulative Volumes Metric'!$F$4 &amp; "EC", Metric_Incremental[#Headers], 0)), 0))</f>
        <v>1.3274319694180867E-2</v>
      </c>
      <c r="F44" s="30">
        <f t="shared" si="9"/>
        <v>7.363923969984441</v>
      </c>
      <c r="G44" s="30">
        <f t="shared" si="0"/>
        <v>0.13274319694180867</v>
      </c>
      <c r="H44" s="30">
        <f>IF(A44=0,"",IF('Cumulative Volumes Metric'!$AR$17=FALSE,J44,I44))</f>
        <v>2.9957331332294999</v>
      </c>
      <c r="I44" s="30">
        <f t="shared" si="10"/>
        <v>2.9957331332294999</v>
      </c>
      <c r="J44" s="30">
        <f t="shared" si="1"/>
        <v>2.9762056619974997</v>
      </c>
      <c r="K44" s="30">
        <f>IF(A44=0,"",IF('Cumulative Volumes Metric'!$AR$17=FALSE,M44,L44))</f>
        <v>10.492400300155749</v>
      </c>
      <c r="L44" s="30">
        <f t="shared" si="11"/>
        <v>10.492400300155749</v>
      </c>
      <c r="M44" s="30">
        <f t="shared" si="2"/>
        <v>10.472872828923748</v>
      </c>
      <c r="N44" s="30">
        <f>IF(($E$8/25.4)+45+($E$9/25.4)&gt;989,"FALSE",IF(A44="","",IF('Cumulative Volumes Metric'!$AR$17=FALSE,P44,O44)))</f>
        <v>568.01833285969121</v>
      </c>
      <c r="O44" s="30">
        <f t="shared" si="12"/>
        <v>568.01833285969121</v>
      </c>
      <c r="P44" s="30">
        <f>IF(A44=0,"",IF('Cumulative Volumes Metric'!$AR$17=FALSE,(U44*$E$4)+(V44*$E$5),O44))</f>
        <v>568.01833285969121</v>
      </c>
      <c r="Q44" s="30">
        <f>IF(A44=0,"",(((25.4/1000)*'Metric Data'!$AC$4*'Metric Data'!$AC$5)-D44)*($E$6/100))</f>
        <v>2.7091714520062232E-2</v>
      </c>
      <c r="R44" s="30">
        <f t="shared" si="3"/>
        <v>2.7091714520062231</v>
      </c>
      <c r="S44" s="30">
        <f>IF(A44=0,"",(((25.4/1000)*'Metric Data'!$AC$5*'Metric Data'!$AC$7)-E44)*($E$6/100))</f>
        <v>2.6703420999127644E-2</v>
      </c>
      <c r="T44" s="30">
        <f t="shared" si="4"/>
        <v>0.26703420999127642</v>
      </c>
      <c r="U44" s="30">
        <f t="shared" si="5"/>
        <v>5.4462173345625393</v>
      </c>
      <c r="V44" s="30">
        <f t="shared" si="6"/>
        <v>2.2400698370605618</v>
      </c>
      <c r="W44" s="30">
        <f t="shared" si="7"/>
        <v>101.2954</v>
      </c>
    </row>
    <row r="45" spans="1:23" x14ac:dyDescent="0.2">
      <c r="A45" s="34">
        <f t="shared" si="13"/>
        <v>50</v>
      </c>
      <c r="B45" s="34">
        <v>32</v>
      </c>
      <c r="C45" s="34">
        <f t="shared" si="8"/>
        <v>1270</v>
      </c>
      <c r="D45" s="80">
        <f>IF(A45=0,"",IF('Metric Data'!AG34&gt;=1, INDEX(Metric_Incremental[], MATCH('Metric Data'!AG34, Metric_Incremental[Height], 1), MATCH('Cumulative Volumes Metric'!$F$4, Metric_Incremental[#Headers], 0)), 0))</f>
        <v>7.5843537023927002E-2</v>
      </c>
      <c r="E45" s="80">
        <f>IF(A45=0,"",IF('Metric Data'!AG34&gt;=1, INDEX(Metric_Incremental[], MATCH('Metric Data'!AG34, Metric_Incremental[Height], 1), MATCH('Cumulative Volumes Metric'!$F$4 &amp; "EC", Metric_Incremental[#Headers], 0)), 0))</f>
        <v>1.4023498796545525E-2</v>
      </c>
      <c r="F45" s="30">
        <f t="shared" si="9"/>
        <v>7.5843537023927006</v>
      </c>
      <c r="G45" s="30">
        <f t="shared" si="0"/>
        <v>0.14023498796545525</v>
      </c>
      <c r="H45" s="30">
        <f>IF(A45=0,"",IF('Cumulative Volumes Metric'!$AR$17=FALSE,J45,I45))</f>
        <v>2.9045645238567372</v>
      </c>
      <c r="I45" s="30">
        <f t="shared" si="10"/>
        <v>2.9045645238567372</v>
      </c>
      <c r="J45" s="30">
        <f t="shared" si="1"/>
        <v>2.8850370526247375</v>
      </c>
      <c r="K45" s="30">
        <f>IF(A45=0,"",IF('Cumulative Volumes Metric'!$AR$17=FALSE,M45,L45))</f>
        <v>10.629153214214893</v>
      </c>
      <c r="L45" s="30">
        <f t="shared" si="11"/>
        <v>10.629153214214893</v>
      </c>
      <c r="M45" s="30">
        <f t="shared" si="2"/>
        <v>10.609625742982894</v>
      </c>
      <c r="N45" s="30">
        <f>IF(($E$8/25.4)+45+($E$9/25.4)&gt;989,"FALSE",IF(A45="","",IF('Cumulative Volumes Metric'!$AR$17=FALSE,P45,O45)))</f>
        <v>557.52593255953548</v>
      </c>
      <c r="O45" s="30">
        <f t="shared" si="12"/>
        <v>557.52593255953548</v>
      </c>
      <c r="P45" s="30">
        <f>IF(A45=0,"",IF('Cumulative Volumes Metric'!$AR$17=FALSE,(U45*$E$4)+(V45*$E$5),O45))</f>
        <v>557.52593255953548</v>
      </c>
      <c r="Q45" s="30">
        <f>IF(A45=0,"",(((25.4/1000)*'Metric Data'!$AC$4*'Metric Data'!$AC$5)-D45)*($E$6/100))</f>
        <v>2.6209995590429198E-2</v>
      </c>
      <c r="R45" s="30">
        <f t="shared" si="3"/>
        <v>2.6209995590429198</v>
      </c>
      <c r="S45" s="30">
        <f>IF(A45=0,"",(((25.4/1000)*'Metric Data'!$AC$5*'Metric Data'!$AC$7)-E45)*($E$6/100))</f>
        <v>2.6403749358181784E-2</v>
      </c>
      <c r="T45" s="30">
        <f t="shared" si="4"/>
        <v>0.26403749358181783</v>
      </c>
      <c r="U45" s="30">
        <f t="shared" si="5"/>
        <v>5.3454863803426331</v>
      </c>
      <c r="V45" s="30">
        <f t="shared" si="6"/>
        <v>2.2000920963672534</v>
      </c>
      <c r="W45" s="30">
        <f t="shared" si="7"/>
        <v>101.27</v>
      </c>
    </row>
    <row r="46" spans="1:23" x14ac:dyDescent="0.2">
      <c r="A46" s="34">
        <f t="shared" si="13"/>
        <v>49</v>
      </c>
      <c r="B46" s="34">
        <v>33</v>
      </c>
      <c r="C46" s="34">
        <f t="shared" si="8"/>
        <v>1244.5999999999999</v>
      </c>
      <c r="D46" s="80">
        <f>IF(A46=0,"",IF('Metric Data'!AG35&gt;=1, INDEX(Metric_Incremental[], MATCH('Metric Data'!AG35, Metric_Incremental[Height], 1), MATCH('Cumulative Volumes Metric'!$F$4, Metric_Incremental[#Headers], 0)), 0))</f>
        <v>7.7943330879229999E-2</v>
      </c>
      <c r="E46" s="80">
        <f>IF(A46=0,"",IF('Metric Data'!AG35&gt;=1, INDEX(Metric_Incremental[], MATCH('Metric Data'!AG35, Metric_Incremental[Height], 1), MATCH('Cumulative Volumes Metric'!$F$4 &amp; "EC", Metric_Incremental[#Headers], 0)), 0))</f>
        <v>1.4743983293218124E-2</v>
      </c>
      <c r="F46" s="30">
        <f t="shared" si="9"/>
        <v>7.7943330879230004</v>
      </c>
      <c r="G46" s="30">
        <f t="shared" si="0"/>
        <v>0.14743983293218124</v>
      </c>
      <c r="H46" s="30">
        <f>IF(A46=0,"",IF('Cumulative Volumes Metric'!$AR$17=FALSE,J46,I46))</f>
        <v>2.8176908316579272</v>
      </c>
      <c r="I46" s="30">
        <f t="shared" si="10"/>
        <v>2.8176908316579272</v>
      </c>
      <c r="J46" s="30">
        <f t="shared" si="1"/>
        <v>2.7981633604259275</v>
      </c>
      <c r="K46" s="30">
        <f>IF(A46=0,"",IF('Cumulative Volumes Metric'!$AR$17=FALSE,M46,L46))</f>
        <v>10.759463752513108</v>
      </c>
      <c r="L46" s="30">
        <f t="shared" si="11"/>
        <v>10.759463752513108</v>
      </c>
      <c r="M46" s="30">
        <f t="shared" si="2"/>
        <v>10.739936281281109</v>
      </c>
      <c r="N46" s="30">
        <f>IF(($E$8/25.4)+45+($E$9/25.4)&gt;989,"FALSE",IF(A46="","",IF('Cumulative Volumes Metric'!$AR$17=FALSE,P46,O46)))</f>
        <v>546.89677934532062</v>
      </c>
      <c r="O46" s="30">
        <f t="shared" si="12"/>
        <v>546.89677934532062</v>
      </c>
      <c r="P46" s="30">
        <f>IF(A46=0,"",IF('Cumulative Volumes Metric'!$AR$17=FALSE,(U46*$E$4)+(V46*$E$5),O46))</f>
        <v>546.89677934532062</v>
      </c>
      <c r="Q46" s="30">
        <f>IF(A46=0,"",(((25.4/1000)*'Metric Data'!$AC$4*'Metric Data'!$AC$5)-D46)*($E$6/100))</f>
        <v>2.5370078048308001E-2</v>
      </c>
      <c r="R46" s="30">
        <f t="shared" si="3"/>
        <v>2.5370078048308002</v>
      </c>
      <c r="S46" s="30">
        <f>IF(A46=0,"",(((25.4/1000)*'Metric Data'!$AC$5*'Metric Data'!$AC$7)-E46)*($E$6/100))</f>
        <v>2.6115555559512744E-2</v>
      </c>
      <c r="T46" s="30">
        <f t="shared" si="4"/>
        <v>0.26115555559512743</v>
      </c>
      <c r="U46" s="30">
        <f t="shared" si="5"/>
        <v>5.2434328477282763</v>
      </c>
      <c r="V46" s="30">
        <f t="shared" si="6"/>
        <v>2.1596648482125258</v>
      </c>
      <c r="W46" s="30">
        <f t="shared" si="7"/>
        <v>101.24460000000001</v>
      </c>
    </row>
    <row r="47" spans="1:23" x14ac:dyDescent="0.2">
      <c r="A47" s="34">
        <f t="shared" si="13"/>
        <v>48</v>
      </c>
      <c r="B47" s="34">
        <v>34</v>
      </c>
      <c r="C47" s="34">
        <f t="shared" si="8"/>
        <v>1219.1999999999998</v>
      </c>
      <c r="D47" s="80">
        <f>IF(A47=0,"",IF('Metric Data'!AG36&gt;=1, INDEX(Metric_Incremental[], MATCH('Metric Data'!AG36, Metric_Incremental[Height], 1), MATCH('Cumulative Volumes Metric'!$F$4, Metric_Incremental[#Headers], 0)), 0))</f>
        <v>7.995012204445702E-2</v>
      </c>
      <c r="E47" s="80">
        <f>IF(A47=0,"",IF('Metric Data'!AG36&gt;=1, INDEX(Metric_Incremental[], MATCH('Metric Data'!AG36, Metric_Incremental[Height], 1), MATCH('Cumulative Volumes Metric'!$F$4 &amp; "EC", Metric_Incremental[#Headers], 0)), 0))</f>
        <v>1.541704148378866E-2</v>
      </c>
      <c r="F47" s="30">
        <f t="shared" si="9"/>
        <v>7.9950122044457022</v>
      </c>
      <c r="G47" s="30">
        <f t="shared" si="0"/>
        <v>0.1541704148378866</v>
      </c>
      <c r="H47" s="30">
        <f>IF(A47=0,"",IF('Cumulative Volumes Metric'!$AR$17=FALSE,J47,I47))</f>
        <v>2.734726952286564</v>
      </c>
      <c r="I47" s="30">
        <f t="shared" si="10"/>
        <v>2.734726952286564</v>
      </c>
      <c r="J47" s="30">
        <f t="shared" si="1"/>
        <v>2.7151994810545643</v>
      </c>
      <c r="K47" s="30">
        <f>IF(A47=0,"",IF('Cumulative Volumes Metric'!$AR$17=FALSE,M47,L47))</f>
        <v>10.883909571570154</v>
      </c>
      <c r="L47" s="30">
        <f t="shared" si="11"/>
        <v>10.883909571570154</v>
      </c>
      <c r="M47" s="30">
        <f t="shared" si="2"/>
        <v>10.864382100338155</v>
      </c>
      <c r="N47" s="30">
        <f>IF(($E$8/25.4)+45+($E$9/25.4)&gt;989,"FALSE",IF(A47="","",IF('Cumulative Volumes Metric'!$AR$17=FALSE,P47,O47)))</f>
        <v>536.13731559280757</v>
      </c>
      <c r="O47" s="30">
        <f t="shared" si="12"/>
        <v>536.13731559280757</v>
      </c>
      <c r="P47" s="30">
        <f>IF(A47=0,"",IF('Cumulative Volumes Metric'!$AR$17=FALSE,(U47*$E$4)+(V47*$E$5),O47))</f>
        <v>536.13731559280757</v>
      </c>
      <c r="Q47" s="30">
        <f>IF(A47=0,"",(((25.4/1000)*'Metric Data'!$AC$4*'Metric Data'!$AC$5)-D47)*($E$6/100))</f>
        <v>2.456736158221719E-2</v>
      </c>
      <c r="R47" s="30">
        <f t="shared" si="3"/>
        <v>2.4567361582217191</v>
      </c>
      <c r="S47" s="30">
        <f>IF(A47=0,"",(((25.4/1000)*'Metric Data'!$AC$5*'Metric Data'!$AC$7)-E47)*($E$6/100))</f>
        <v>2.5846332283284531E-2</v>
      </c>
      <c r="T47" s="30">
        <f t="shared" si="4"/>
        <v>0.25846332283284529</v>
      </c>
      <c r="U47" s="30">
        <f t="shared" si="5"/>
        <v>5.1401194388007383</v>
      </c>
      <c r="V47" s="30">
        <f t="shared" si="6"/>
        <v>2.1188053093597947</v>
      </c>
      <c r="W47" s="30">
        <f t="shared" si="7"/>
        <v>101.2192</v>
      </c>
    </row>
    <row r="48" spans="1:23" x14ac:dyDescent="0.2">
      <c r="A48" s="34">
        <f t="shared" si="13"/>
        <v>47</v>
      </c>
      <c r="B48" s="34">
        <v>35</v>
      </c>
      <c r="C48" s="34">
        <f t="shared" si="8"/>
        <v>1193.8</v>
      </c>
      <c r="D48" s="80">
        <f>IF(A48=0,"",IF('Metric Data'!AG37&gt;=1, INDEX(Metric_Incremental[], MATCH('Metric Data'!AG37, Metric_Incremental[Height], 1), MATCH('Cumulative Volumes Metric'!$F$4, Metric_Incremental[#Headers], 0)), 0))</f>
        <v>8.1874839869744087E-2</v>
      </c>
      <c r="E48" s="80">
        <f>IF(A48=0,"",IF('Metric Data'!AG37&gt;=1, INDEX(Metric_Incremental[], MATCH('Metric Data'!AG37, Metric_Incremental[Height], 1), MATCH('Cumulative Volumes Metric'!$F$4 &amp; "EC", Metric_Incremental[#Headers], 0)), 0))</f>
        <v>1.6048999292085621E-2</v>
      </c>
      <c r="F48" s="30">
        <f t="shared" si="9"/>
        <v>8.1874839869744083</v>
      </c>
      <c r="G48" s="30">
        <f t="shared" si="0"/>
        <v>0.16048999292085619</v>
      </c>
      <c r="H48" s="30">
        <f>IF(A48=0,"",IF('Cumulative Volumes Metric'!$AR$17=FALSE,J48,I48))</f>
        <v>2.6552104080418939</v>
      </c>
      <c r="I48" s="30">
        <f t="shared" si="10"/>
        <v>2.6552104080418939</v>
      </c>
      <c r="J48" s="30">
        <f t="shared" si="1"/>
        <v>2.6356829368098937</v>
      </c>
      <c r="K48" s="30">
        <f>IF(A48=0,"",IF('Cumulative Volumes Metric'!$AR$17=FALSE,M48,L48))</f>
        <v>11.003184387937159</v>
      </c>
      <c r="L48" s="30">
        <f t="shared" si="11"/>
        <v>11.003184387937159</v>
      </c>
      <c r="M48" s="30">
        <f t="shared" si="2"/>
        <v>10.983656916705158</v>
      </c>
      <c r="N48" s="30">
        <f>IF(($E$8/25.4)+45+($E$9/25.4)&gt;989,"FALSE",IF(A48="","",IF('Cumulative Volumes Metric'!$AR$17=FALSE,P48,O48)))</f>
        <v>525.25340602123742</v>
      </c>
      <c r="O48" s="30">
        <f t="shared" si="12"/>
        <v>525.25340602123742</v>
      </c>
      <c r="P48" s="30">
        <f>IF(A48=0,"",IF('Cumulative Volumes Metric'!$AR$17=FALSE,(U48*$E$4)+(V48*$E$5),O48))</f>
        <v>525.25340602123742</v>
      </c>
      <c r="Q48" s="30">
        <f>IF(A48=0,"",(((25.4/1000)*'Metric Data'!$AC$4*'Metric Data'!$AC$5)-D48)*($E$6/100))</f>
        <v>2.3797474452102365E-2</v>
      </c>
      <c r="R48" s="30">
        <f t="shared" si="3"/>
        <v>2.3797474452102363</v>
      </c>
      <c r="S48" s="30">
        <f>IF(A48=0,"",(((25.4/1000)*'Metric Data'!$AC$5*'Metric Data'!$AC$7)-E48)*($E$6/100))</f>
        <v>2.5593549159965746E-2</v>
      </c>
      <c r="T48" s="30">
        <f t="shared" si="4"/>
        <v>0.25593549159965745</v>
      </c>
      <c r="U48" s="30">
        <f t="shared" si="5"/>
        <v>5.0356019551740641</v>
      </c>
      <c r="V48" s="30">
        <f t="shared" si="6"/>
        <v>2.0775419355927216</v>
      </c>
      <c r="W48" s="30">
        <f t="shared" si="7"/>
        <v>101.1938</v>
      </c>
    </row>
    <row r="49" spans="1:23" x14ac:dyDescent="0.2">
      <c r="A49" s="34">
        <f t="shared" si="13"/>
        <v>46</v>
      </c>
      <c r="B49" s="34">
        <v>36</v>
      </c>
      <c r="C49" s="34">
        <f t="shared" si="8"/>
        <v>1168.3999999999999</v>
      </c>
      <c r="D49" s="80">
        <f>IF(A49=0,"",IF('Metric Data'!AG38&gt;=1, INDEX(Metric_Incremental[], MATCH('Metric Data'!AG38, Metric_Incremental[Height], 1), MATCH('Cumulative Volumes Metric'!$F$4, Metric_Incremental[#Headers], 0)), 0))</f>
        <v>8.3713956958799129E-2</v>
      </c>
      <c r="E49" s="80">
        <f>IF(A49=0,"",IF('Metric Data'!AG38&gt;=1, INDEX(Metric_Incremental[], MATCH('Metric Data'!AG38, Metric_Incremental[Height], 1), MATCH('Cumulative Volumes Metric'!$F$4 &amp; "EC", Metric_Incremental[#Headers], 0)), 0))</f>
        <v>1.6664857426022906E-2</v>
      </c>
      <c r="F49" s="30">
        <f t="shared" si="9"/>
        <v>8.3713956958799134</v>
      </c>
      <c r="G49" s="30">
        <f t="shared" si="0"/>
        <v>0.16664857426022905</v>
      </c>
      <c r="H49" s="30">
        <f>IF(A49=0,"",IF('Cumulative Volumes Metric'!$AR$17=FALSE,J49,I49))</f>
        <v>2.5791822919439427</v>
      </c>
      <c r="I49" s="30">
        <f t="shared" si="10"/>
        <v>2.5791822919439427</v>
      </c>
      <c r="J49" s="30">
        <f t="shared" si="1"/>
        <v>2.5596548207119429</v>
      </c>
      <c r="K49" s="30">
        <f>IF(A49=0,"",IF('Cumulative Volumes Metric'!$AR$17=FALSE,M49,L49))</f>
        <v>11.117226562084085</v>
      </c>
      <c r="L49" s="30">
        <f t="shared" si="11"/>
        <v>11.117226562084085</v>
      </c>
      <c r="M49" s="30">
        <f t="shared" si="2"/>
        <v>11.097699090852085</v>
      </c>
      <c r="N49" s="30">
        <f>IF(($E$8/25.4)+45+($E$9/25.4)&gt;989,"FALSE",IF(A49="","",IF('Cumulative Volumes Metric'!$AR$17=FALSE,P49,O49)))</f>
        <v>514.25022163330027</v>
      </c>
      <c r="O49" s="30">
        <f t="shared" si="12"/>
        <v>514.25022163330027</v>
      </c>
      <c r="P49" s="30">
        <f>IF(A49=0,"",IF('Cumulative Volumes Metric'!$AR$17=FALSE,(U49*$E$4)+(V49*$E$5),O49))</f>
        <v>514.25022163330027</v>
      </c>
      <c r="Q49" s="30">
        <f>IF(A49=0,"",(((25.4/1000)*'Metric Data'!$AC$4*'Metric Data'!$AC$5)-D49)*($E$6/100))</f>
        <v>2.3061827616480346E-2</v>
      </c>
      <c r="R49" s="30">
        <f t="shared" si="3"/>
        <v>2.3061827616480346</v>
      </c>
      <c r="S49" s="30">
        <f>IF(A49=0,"",(((25.4/1000)*'Metric Data'!$AC$5*'Metric Data'!$AC$7)-E49)*($E$6/100))</f>
        <v>2.5347205906390832E-2</v>
      </c>
      <c r="T49" s="30">
        <f t="shared" si="4"/>
        <v>0.25347205906390829</v>
      </c>
      <c r="U49" s="30">
        <f t="shared" si="5"/>
        <v>4.9299296408522171</v>
      </c>
      <c r="V49" s="30">
        <f t="shared" si="6"/>
        <v>2.0358993871406703</v>
      </c>
      <c r="W49" s="30">
        <f t="shared" si="7"/>
        <v>101.16840000000001</v>
      </c>
    </row>
    <row r="50" spans="1:23" x14ac:dyDescent="0.2">
      <c r="A50" s="34">
        <f t="shared" si="13"/>
        <v>45</v>
      </c>
      <c r="B50" s="34">
        <v>37</v>
      </c>
      <c r="C50" s="34">
        <f t="shared" si="8"/>
        <v>1143</v>
      </c>
      <c r="D50" s="80">
        <f>IF(A50=0,"",IF('Metric Data'!AG39&gt;=1, INDEX(Metric_Incremental[], MATCH('Metric Data'!AG39, Metric_Incremental[Height], 1), MATCH('Cumulative Volumes Metric'!$F$4, Metric_Incremental[#Headers], 0)), 0))</f>
        <v>8.5481266883760329E-2</v>
      </c>
      <c r="E50" s="80">
        <f>IF(A50=0,"",IF('Metric Data'!AG39&gt;=1, INDEX(Metric_Incremental[], MATCH('Metric Data'!AG39, Metric_Incremental[Height], 1), MATCH('Cumulative Volumes Metric'!$F$4 &amp; "EC", Metric_Incremental[#Headers], 0)), 0))</f>
        <v>1.7273737505309375E-2</v>
      </c>
      <c r="F50" s="30">
        <f t="shared" si="9"/>
        <v>8.5481266883760334</v>
      </c>
      <c r="G50" s="30">
        <f t="shared" si="0"/>
        <v>0.17273737505309375</v>
      </c>
      <c r="H50" s="30">
        <f>IF(A50=0,"",IF('Cumulative Volumes Metric'!$AR$17=FALSE,J50,I50))</f>
        <v>2.5060543746283486</v>
      </c>
      <c r="I50" s="30">
        <f t="shared" si="10"/>
        <v>2.5060543746283486</v>
      </c>
      <c r="J50" s="30">
        <f t="shared" si="1"/>
        <v>2.4865269033963489</v>
      </c>
      <c r="K50" s="30">
        <f>IF(A50=0,"",IF('Cumulative Volumes Metric'!$AR$17=FALSE,M50,L50))</f>
        <v>11.226918438057476</v>
      </c>
      <c r="L50" s="30">
        <f t="shared" si="11"/>
        <v>11.226918438057476</v>
      </c>
      <c r="M50" s="30">
        <f t="shared" si="2"/>
        <v>11.207390966825477</v>
      </c>
      <c r="N50" s="30">
        <f>IF(($E$8/25.4)+45+($E$9/25.4)&gt;989,"FALSE",IF(A50="","",IF('Cumulative Volumes Metric'!$AR$17=FALSE,P50,O50)))</f>
        <v>503.13299507121621</v>
      </c>
      <c r="O50" s="30">
        <f t="shared" si="12"/>
        <v>503.13299507121621</v>
      </c>
      <c r="P50" s="30">
        <f>IF(A50=0,"",IF('Cumulative Volumes Metric'!$AR$17=FALSE,(U50*$E$4)+(V50*$E$5),O50))</f>
        <v>503.13299507121621</v>
      </c>
      <c r="Q50" s="30">
        <f>IF(A50=0,"",(((25.4/1000)*'Metric Data'!$AC$4*'Metric Data'!$AC$5)-D50)*($E$6/100))</f>
        <v>2.2354903646495866E-2</v>
      </c>
      <c r="R50" s="30">
        <f t="shared" si="3"/>
        <v>2.2354903646495865</v>
      </c>
      <c r="S50" s="30">
        <f>IF(A50=0,"",(((25.4/1000)*'Metric Data'!$AC$5*'Metric Data'!$AC$7)-E50)*($E$6/100))</f>
        <v>2.5103653874676241E-2</v>
      </c>
      <c r="T50" s="30">
        <f t="shared" si="4"/>
        <v>0.25103653874676241</v>
      </c>
      <c r="U50" s="30">
        <f t="shared" si="5"/>
        <v>4.8231538562769378</v>
      </c>
      <c r="V50" s="30">
        <f t="shared" si="6"/>
        <v>1.9938873238082568</v>
      </c>
      <c r="W50" s="30">
        <f t="shared" si="7"/>
        <v>101.143</v>
      </c>
    </row>
    <row r="51" spans="1:23" x14ac:dyDescent="0.2">
      <c r="A51" s="34">
        <f t="shared" si="13"/>
        <v>44</v>
      </c>
      <c r="B51" s="34">
        <v>38</v>
      </c>
      <c r="C51" s="34">
        <f t="shared" si="8"/>
        <v>1117.5999999999999</v>
      </c>
      <c r="D51" s="80">
        <f>IF(A51=0,"",IF('Metric Data'!AG40&gt;=1, INDEX(Metric_Incremental[], MATCH('Metric Data'!AG40, Metric_Incremental[Height], 1), MATCH('Cumulative Volumes Metric'!$F$4, Metric_Incremental[#Headers], 0)), 0))</f>
        <v>8.7176479682854413E-2</v>
      </c>
      <c r="E51" s="80">
        <f>IF(A51=0,"",IF('Metric Data'!AG40&gt;=1, INDEX(Metric_Incremental[], MATCH('Metric Data'!AG40, Metric_Incremental[Height], 1), MATCH('Cumulative Volumes Metric'!$F$4 &amp; "EC", Metric_Incremental[#Headers], 0)), 0))</f>
        <v>1.7899899476143313E-2</v>
      </c>
      <c r="F51" s="30">
        <f t="shared" si="9"/>
        <v>8.7176479682854406</v>
      </c>
      <c r="G51" s="30">
        <f t="shared" si="0"/>
        <v>0.17899899476143313</v>
      </c>
      <c r="H51" s="30">
        <f>IF(A51=0,"",IF('Cumulative Volumes Metric'!$AR$17=FALSE,J51,I51))</f>
        <v>2.4357412147812507</v>
      </c>
      <c r="I51" s="30">
        <f t="shared" si="10"/>
        <v>2.4357412147812507</v>
      </c>
      <c r="J51" s="30">
        <f t="shared" si="1"/>
        <v>2.4162137435492501</v>
      </c>
      <c r="K51" s="30">
        <f>IF(A51=0,"",IF('Cumulative Volumes Metric'!$AR$17=FALSE,M51,L51))</f>
        <v>11.332388177828124</v>
      </c>
      <c r="L51" s="30">
        <f t="shared" si="11"/>
        <v>11.332388177828124</v>
      </c>
      <c r="M51" s="30">
        <f t="shared" si="2"/>
        <v>11.312860706596123</v>
      </c>
      <c r="N51" s="30">
        <f>IF(($E$8/25.4)+45+($E$9/25.4)&gt;989,"FALSE",IF(A51="","",IF('Cumulative Volumes Metric'!$AR$17=FALSE,P51,O51)))</f>
        <v>491.90607663315876</v>
      </c>
      <c r="O51" s="30">
        <f t="shared" si="12"/>
        <v>491.90607663315876</v>
      </c>
      <c r="P51" s="30">
        <f>IF(A51=0,"",IF('Cumulative Volumes Metric'!$AR$17=FALSE,(U51*$E$4)+(V51*$E$5),O51))</f>
        <v>491.90607663315876</v>
      </c>
      <c r="Q51" s="30">
        <f>IF(A51=0,"",(((25.4/1000)*'Metric Data'!$AC$4*'Metric Data'!$AC$5)-D51)*($E$6/100))</f>
        <v>2.1676818526858235E-2</v>
      </c>
      <c r="R51" s="30">
        <f t="shared" si="3"/>
        <v>2.1676818526858233</v>
      </c>
      <c r="S51" s="30">
        <f>IF(A51=0,"",(((25.4/1000)*'Metric Data'!$AC$5*'Metric Data'!$AC$7)-E51)*($E$6/100))</f>
        <v>2.4853189086342667E-2</v>
      </c>
      <c r="T51" s="30">
        <f t="shared" si="4"/>
        <v>0.24853189086342667</v>
      </c>
      <c r="U51" s="30">
        <f t="shared" si="5"/>
        <v>4.7153176857466814</v>
      </c>
      <c r="V51" s="30">
        <f t="shared" si="6"/>
        <v>1.9515099324282712</v>
      </c>
      <c r="W51" s="30">
        <f t="shared" si="7"/>
        <v>101.1176</v>
      </c>
    </row>
    <row r="52" spans="1:23" x14ac:dyDescent="0.2">
      <c r="A52" s="34">
        <f t="shared" si="13"/>
        <v>43</v>
      </c>
      <c r="B52" s="34">
        <v>39</v>
      </c>
      <c r="C52" s="34">
        <f t="shared" si="8"/>
        <v>1092.2</v>
      </c>
      <c r="D52" s="80">
        <f>IF(A52=0,"",IF('Metric Data'!AG41&gt;=1, INDEX(Metric_Incremental[], MATCH('Metric Data'!AG41, Metric_Incremental[Height], 1), MATCH('Cumulative Volumes Metric'!$F$4, Metric_Incremental[#Headers], 0)), 0))</f>
        <v>8.8808730284581333E-2</v>
      </c>
      <c r="E52" s="80">
        <f>IF(A52=0,"",IF('Metric Data'!AG41&gt;=1, INDEX(Metric_Incremental[], MATCH('Metric Data'!AG41, Metric_Incremental[Height], 1), MATCH('Cumulative Volumes Metric'!$F$4 &amp; "EC", Metric_Incremental[#Headers], 0)), 0))</f>
        <v>1.8210077870593196E-2</v>
      </c>
      <c r="F52" s="30">
        <f t="shared" si="9"/>
        <v>8.880873028458133</v>
      </c>
      <c r="G52" s="30">
        <f t="shared" si="0"/>
        <v>0.18210077870593197</v>
      </c>
      <c r="H52" s="30">
        <f>IF(A52=0,"",IF('Cumulative Volumes Metric'!$AR$17=FALSE,J52,I52))</f>
        <v>2.3692104771343736</v>
      </c>
      <c r="I52" s="30">
        <f t="shared" si="10"/>
        <v>2.3692104771343736</v>
      </c>
      <c r="J52" s="30">
        <f t="shared" si="1"/>
        <v>2.3496830059023739</v>
      </c>
      <c r="K52" s="30">
        <f>IF(A52=0,"",IF('Cumulative Volumes Metric'!$AR$17=FALSE,M52,L52))</f>
        <v>11.432184284298438</v>
      </c>
      <c r="L52" s="30">
        <f t="shared" si="11"/>
        <v>11.432184284298438</v>
      </c>
      <c r="M52" s="30">
        <f t="shared" si="2"/>
        <v>11.412656813066439</v>
      </c>
      <c r="N52" s="30">
        <f>IF(($E$8/25.4)+45+($E$9/25.4)&gt;989,"FALSE",IF(A52="","",IF('Cumulative Volumes Metric'!$AR$17=FALSE,P52,O52)))</f>
        <v>480.57368845533063</v>
      </c>
      <c r="O52" s="30">
        <f t="shared" si="12"/>
        <v>480.57368845533063</v>
      </c>
      <c r="P52" s="30">
        <f>IF(A52=0,"",IF('Cumulative Volumes Metric'!$AR$17=FALSE,(U52*$E$4)+(V52*$E$5),O52))</f>
        <v>480.57368845533063</v>
      </c>
      <c r="Q52" s="30">
        <f>IF(A52=0,"",(((25.4/1000)*'Metric Data'!$AC$4*'Metric Data'!$AC$5)-D52)*($E$6/100))</f>
        <v>2.1023918286167467E-2</v>
      </c>
      <c r="R52" s="30">
        <f t="shared" si="3"/>
        <v>2.1023918286167467</v>
      </c>
      <c r="S52" s="30">
        <f>IF(A52=0,"",(((25.4/1000)*'Metric Data'!$AC$5*'Metric Data'!$AC$7)-E52)*($E$6/100))</f>
        <v>2.4729117728562712E-2</v>
      </c>
      <c r="T52" s="30">
        <f t="shared" si="4"/>
        <v>0.24729117728562711</v>
      </c>
      <c r="U52" s="30">
        <f t="shared" si="5"/>
        <v>4.6064643875369686</v>
      </c>
      <c r="V52" s="30">
        <f t="shared" si="6"/>
        <v>1.9087568438657854</v>
      </c>
      <c r="W52" s="30">
        <f t="shared" si="7"/>
        <v>101.09220000000001</v>
      </c>
    </row>
    <row r="53" spans="1:23" x14ac:dyDescent="0.2">
      <c r="A53" s="34">
        <f t="shared" si="13"/>
        <v>42</v>
      </c>
      <c r="B53" s="34">
        <v>40</v>
      </c>
      <c r="C53" s="34">
        <f t="shared" si="8"/>
        <v>1066.8</v>
      </c>
      <c r="D53" s="80">
        <f>IF(A53=0,"",IF('Metric Data'!AG42&gt;=1, INDEX(Metric_Incremental[], MATCH('Metric Data'!AG42, Metric_Incremental[Height], 1), MATCH('Cumulative Volumes Metric'!$F$4, Metric_Incremental[#Headers], 0)), 0))</f>
        <v>9.0379990655528902E-2</v>
      </c>
      <c r="E53" s="80">
        <f>IF(A53=0,"",IF('Metric Data'!AG42&gt;=1, INDEX(Metric_Incremental[], MATCH('Metric Data'!AG42, Metric_Incremental[Height], 1), MATCH('Cumulative Volumes Metric'!$F$4 &amp; "EC", Metric_Incremental[#Headers], 0)), 0))</f>
        <v>1.917885742602295E-2</v>
      </c>
      <c r="F53" s="30">
        <f t="shared" si="9"/>
        <v>9.0379990655528903</v>
      </c>
      <c r="G53" s="30">
        <f t="shared" si="0"/>
        <v>0.19178857426022949</v>
      </c>
      <c r="H53" s="30">
        <f>IF(A53=0,"",IF('Cumulative Volumes Metric'!$AR$17=FALSE,J53,I53))</f>
        <v>2.3024849440747519</v>
      </c>
      <c r="I53" s="30">
        <f t="shared" si="10"/>
        <v>2.3024849440747519</v>
      </c>
      <c r="J53" s="30">
        <f t="shared" si="1"/>
        <v>2.2829574728427522</v>
      </c>
      <c r="K53" s="30">
        <f>IF(A53=0,"",IF('Cumulative Volumes Metric'!$AR$17=FALSE,M53,L53))</f>
        <v>11.532272583887872</v>
      </c>
      <c r="L53" s="30">
        <f t="shared" si="11"/>
        <v>11.532272583887872</v>
      </c>
      <c r="M53" s="30">
        <f t="shared" si="2"/>
        <v>11.512745112655871</v>
      </c>
      <c r="N53" s="30">
        <f>IF(($E$8/25.4)+45+($E$9/25.4)&gt;989,"FALSE",IF(A53="","",IF('Cumulative Volumes Metric'!$AR$17=FALSE,P53,O53)))</f>
        <v>469.14150417103218</v>
      </c>
      <c r="O53" s="30">
        <f t="shared" si="12"/>
        <v>469.14150417103218</v>
      </c>
      <c r="P53" s="30">
        <f>IF(A53=0,"",IF('Cumulative Volumes Metric'!$AR$17=FALSE,(U53*$E$4)+(V53*$E$5),O53))</f>
        <v>469.14150417103218</v>
      </c>
      <c r="Q53" s="30">
        <f>IF(A53=0,"",(((25.4/1000)*'Metric Data'!$AC$4*'Metric Data'!$AC$5)-D53)*($E$6/100))</f>
        <v>2.0395414137788438E-2</v>
      </c>
      <c r="R53" s="30">
        <f t="shared" si="3"/>
        <v>2.0395414137788439</v>
      </c>
      <c r="S53" s="30">
        <f>IF(A53=0,"",(((25.4/1000)*'Metric Data'!$AC$5*'Metric Data'!$AC$7)-E53)*($E$6/100))</f>
        <v>2.4341605906390812E-2</v>
      </c>
      <c r="T53" s="30">
        <f t="shared" si="4"/>
        <v>0.24341605906390812</v>
      </c>
      <c r="U53" s="30">
        <f t="shared" si="5"/>
        <v>4.4966317389662196</v>
      </c>
      <c r="V53" s="30">
        <f t="shared" si="6"/>
        <v>1.8658176482666295</v>
      </c>
      <c r="W53" s="30">
        <f t="shared" si="7"/>
        <v>101.0668</v>
      </c>
    </row>
    <row r="54" spans="1:23" x14ac:dyDescent="0.2">
      <c r="A54" s="34">
        <f t="shared" si="13"/>
        <v>41</v>
      </c>
      <c r="B54" s="34">
        <v>41</v>
      </c>
      <c r="C54" s="34">
        <f t="shared" si="8"/>
        <v>1041.3999999999999</v>
      </c>
      <c r="D54" s="80">
        <f>IF(A54=0,"",IF('Metric Data'!AG43&gt;=1, INDEX(Metric_Incremental[], MATCH('Metric Data'!AG43, Metric_Incremental[Height], 1), MATCH('Cumulative Volumes Metric'!$F$4, Metric_Incremental[#Headers], 0)), 0))</f>
        <v>9.1887799235452552E-2</v>
      </c>
      <c r="E54" s="80">
        <f>IF(A54=0,"",IF('Metric Data'!AG43&gt;=1, INDEX(Metric_Incremental[], MATCH('Metric Data'!AG43, Metric_Incremental[Height], 1), MATCH('Cumulative Volumes Metric'!$F$4 &amp; "EC", Metric_Incremental[#Headers], 0)), 0))</f>
        <v>1.9816775307942812E-2</v>
      </c>
      <c r="F54" s="30">
        <f t="shared" si="9"/>
        <v>9.1887799235452547</v>
      </c>
      <c r="G54" s="30">
        <f t="shared" si="0"/>
        <v>0.19816775307942813</v>
      </c>
      <c r="H54" s="30">
        <f>IF(A54=0,"",IF('Cumulative Volumes Metric'!$AR$17=FALSE,J54,I54))</f>
        <v>2.2396209293501266</v>
      </c>
      <c r="I54" s="30">
        <f t="shared" si="10"/>
        <v>2.2396209293501266</v>
      </c>
      <c r="J54" s="30">
        <f t="shared" si="1"/>
        <v>2.2200934581181264</v>
      </c>
      <c r="K54" s="30">
        <f>IF(A54=0,"",IF('Cumulative Volumes Metric'!$AR$17=FALSE,M54,L54))</f>
        <v>11.626568605974809</v>
      </c>
      <c r="L54" s="30">
        <f t="shared" si="11"/>
        <v>11.626568605974809</v>
      </c>
      <c r="M54" s="30">
        <f t="shared" si="2"/>
        <v>11.60704113474281</v>
      </c>
      <c r="N54" s="30">
        <f>IF(($E$8/25.4)+45+($E$9/25.4)&gt;989,"FALSE",IF(A54="","",IF('Cumulative Volumes Metric'!$AR$17=FALSE,P54,O54)))</f>
        <v>457.60923158714434</v>
      </c>
      <c r="O54" s="30">
        <f t="shared" si="12"/>
        <v>457.60923158714434</v>
      </c>
      <c r="P54" s="30">
        <f>IF(A54=0,"",IF('Cumulative Volumes Metric'!$AR$17=FALSE,(U54*$E$4)+(V54*$E$5),O54))</f>
        <v>457.60923158714434</v>
      </c>
      <c r="Q54" s="30">
        <f>IF(A54=0,"",(((25.4/1000)*'Metric Data'!$AC$4*'Metric Data'!$AC$5)-D54)*($E$6/100))</f>
        <v>1.9792290705818977E-2</v>
      </c>
      <c r="R54" s="30">
        <f t="shared" si="3"/>
        <v>1.9792290705818978</v>
      </c>
      <c r="S54" s="30">
        <f>IF(A54=0,"",(((25.4/1000)*'Metric Data'!$AC$5*'Metric Data'!$AC$7)-E54)*($E$6/100))</f>
        <v>2.4086438753622867E-2</v>
      </c>
      <c r="T54" s="30">
        <f t="shared" si="4"/>
        <v>0.24086438753622869</v>
      </c>
      <c r="U54" s="30">
        <f t="shared" si="5"/>
        <v>4.3858563341729022</v>
      </c>
      <c r="V54" s="30">
        <f t="shared" si="6"/>
        <v>1.8222971849342158</v>
      </c>
      <c r="W54" s="30">
        <f t="shared" si="7"/>
        <v>101.0414</v>
      </c>
    </row>
    <row r="55" spans="1:23" x14ac:dyDescent="0.2">
      <c r="A55" s="34">
        <f t="shared" si="13"/>
        <v>40</v>
      </c>
      <c r="B55" s="34">
        <v>42</v>
      </c>
      <c r="C55" s="34">
        <f t="shared" si="8"/>
        <v>1016</v>
      </c>
      <c r="D55" s="80">
        <f>IF(A55=0,"",IF('Metric Data'!AG44&gt;=1, INDEX(Metric_Incremental[], MATCH('Metric Data'!AG44, Metric_Incremental[Height], 1), MATCH('Cumulative Volumes Metric'!$F$4, Metric_Incremental[#Headers], 0)), 0))</f>
        <v>9.3340449100948505E-2</v>
      </c>
      <c r="E55" s="80">
        <f>IF(A55=0,"",IF('Metric Data'!AG44&gt;=1, INDEX(Metric_Incremental[], MATCH('Metric Data'!AG44, Metric_Incremental[Height], 1), MATCH('Cumulative Volumes Metric'!$F$4 &amp; "EC", Metric_Incremental[#Headers], 0)), 0))</f>
        <v>2.0455900891972287E-2</v>
      </c>
      <c r="F55" s="30">
        <f t="shared" si="9"/>
        <v>9.3340449100948497</v>
      </c>
      <c r="G55" s="30">
        <f t="shared" si="0"/>
        <v>0.20455900891972287</v>
      </c>
      <c r="H55" s="30">
        <f>IF(A55=0,"",IF('Cumulative Volumes Metric'!$AR$17=FALSE,J55,I55))</f>
        <v>2.1789584323941704</v>
      </c>
      <c r="I55" s="30">
        <f t="shared" si="10"/>
        <v>2.1789584323941704</v>
      </c>
      <c r="J55" s="30">
        <f t="shared" si="1"/>
        <v>2.1594309611621707</v>
      </c>
      <c r="K55" s="30">
        <f>IF(A55=0,"",IF('Cumulative Volumes Metric'!$AR$17=FALSE,M55,L55))</f>
        <v>11.717562351408743</v>
      </c>
      <c r="L55" s="30">
        <f t="shared" si="11"/>
        <v>11.717562351408743</v>
      </c>
      <c r="M55" s="30">
        <f t="shared" si="2"/>
        <v>11.698034880176744</v>
      </c>
      <c r="N55" s="30">
        <f>IF(($E$8/25.4)+45+($E$9/25.4)&gt;989,"FALSE",IF(A55="","",IF('Cumulative Volumes Metric'!$AR$17=FALSE,P55,O55)))</f>
        <v>445.98266298116954</v>
      </c>
      <c r="O55" s="30">
        <f t="shared" si="12"/>
        <v>445.98266298116954</v>
      </c>
      <c r="P55" s="30">
        <f>IF(A55=0,"",IF('Cumulative Volumes Metric'!$AR$17=FALSE,(U55*$E$4)+(V55*$E$5),O55))</f>
        <v>445.98266298116954</v>
      </c>
      <c r="Q55" s="30">
        <f>IF(A55=0,"",(((25.4/1000)*'Metric Data'!$AC$4*'Metric Data'!$AC$5)-D55)*($E$6/100))</f>
        <v>1.9211230759620598E-2</v>
      </c>
      <c r="R55" s="30">
        <f t="shared" si="3"/>
        <v>1.9211230759620599</v>
      </c>
      <c r="S55" s="30">
        <f>IF(A55=0,"",(((25.4/1000)*'Metric Data'!$AC$5*'Metric Data'!$AC$7)-E55)*($E$6/100))</f>
        <v>2.3830788520011078E-2</v>
      </c>
      <c r="T55" s="30">
        <f t="shared" si="4"/>
        <v>0.23830788520011079</v>
      </c>
      <c r="U55" s="30">
        <f t="shared" si="5"/>
        <v>4.2741762442316302</v>
      </c>
      <c r="V55" s="30">
        <f t="shared" si="6"/>
        <v>1.7783939708726502</v>
      </c>
      <c r="W55" s="30">
        <f t="shared" si="7"/>
        <v>101.01600000000001</v>
      </c>
    </row>
    <row r="56" spans="1:23" x14ac:dyDescent="0.2">
      <c r="A56" s="34">
        <f t="shared" si="13"/>
        <v>39</v>
      </c>
      <c r="B56" s="34">
        <v>43</v>
      </c>
      <c r="C56" s="34">
        <f t="shared" si="8"/>
        <v>990.59999999999991</v>
      </c>
      <c r="D56" s="30">
        <f>IF(A56=0,"",IF('Metric Data'!AG45&gt;=1, INDEX(Metric_Incremental[], MATCH('Metric Data'!AG45, Metric_Incremental[Height], 1), MATCH('Cumulative Volumes Metric'!$F$4, Metric_Incremental[#Headers], 0)), 0))</f>
        <v>9.4736398697437357E-2</v>
      </c>
      <c r="E56" s="80">
        <f>IF(A56=0,"",IF('Metric Data'!AG45&gt;=1, INDEX(Metric_Incremental[], MATCH('Metric Data'!AG45, Metric_Incremental[Height], 1), MATCH('Cumulative Volumes Metric'!$F$4 &amp; "EC", Metric_Incremental[#Headers], 0)), 0))</f>
        <v>2.1059807730426115E-2</v>
      </c>
      <c r="F56" s="30">
        <f t="shared" si="9"/>
        <v>9.4736398697437352</v>
      </c>
      <c r="G56" s="30">
        <f t="shared" si="0"/>
        <v>0.21059807730426117</v>
      </c>
      <c r="H56" s="30">
        <f>IF(A56=0,"",IF('Cumulative Volumes Metric'!$AR$17=FALSE,J56,I56))</f>
        <v>2.1207048211808011</v>
      </c>
      <c r="I56" s="30">
        <f t="shared" si="10"/>
        <v>2.1207048211808011</v>
      </c>
      <c r="J56" s="30">
        <f t="shared" si="1"/>
        <v>2.1011773499488013</v>
      </c>
      <c r="K56" s="30">
        <f>IF(A56=0,"",IF('Cumulative Volumes Metric'!$AR$17=FALSE,M56,L56))</f>
        <v>11.804942768228798</v>
      </c>
      <c r="L56" s="30">
        <f t="shared" si="11"/>
        <v>11.804942768228798</v>
      </c>
      <c r="M56" s="30">
        <f t="shared" si="2"/>
        <v>11.785415296996799</v>
      </c>
      <c r="N56" s="30">
        <f>IF(($E$8/25.4)+45+($E$9/25.4)&gt;989,"FALSE",IF(A56="","",IF('Cumulative Volumes Metric'!$AR$17=FALSE,P56,O56)))</f>
        <v>434.26510062976081</v>
      </c>
      <c r="O56" s="30">
        <f t="shared" si="12"/>
        <v>434.26510062976081</v>
      </c>
      <c r="P56" s="30">
        <f>IF(A56=0,"",IF('Cumulative Volumes Metric'!$AR$17=FALSE,(U56*$E$4)+(V56*$E$5),O56))</f>
        <v>434.26510062976081</v>
      </c>
      <c r="Q56" s="30">
        <f>IF(A56=0,"",(((25.4/1000)*'Metric Data'!$AC$4*'Metric Data'!$AC$5)-D56)*($E$6/100))</f>
        <v>1.8652850921025057E-2</v>
      </c>
      <c r="R56" s="30">
        <f t="shared" si="3"/>
        <v>1.8652850921025057</v>
      </c>
      <c r="S56" s="30">
        <f>IF(A56=0,"",(((25.4/1000)*'Metric Data'!$AC$5*'Metric Data'!$AC$7)-E56)*($E$6/100))</f>
        <v>2.3589225784629547E-2</v>
      </c>
      <c r="T56" s="30">
        <f t="shared" si="4"/>
        <v>0.23589225784629547</v>
      </c>
      <c r="U56" s="30">
        <f t="shared" si="5"/>
        <v>4.1616245643710608</v>
      </c>
      <c r="V56" s="30">
        <f t="shared" si="6"/>
        <v>1.7341072814606668</v>
      </c>
      <c r="W56" s="30">
        <f t="shared" si="7"/>
        <v>100.9906</v>
      </c>
    </row>
    <row r="57" spans="1:23" x14ac:dyDescent="0.2">
      <c r="A57" s="34">
        <f t="shared" si="13"/>
        <v>38</v>
      </c>
      <c r="B57" s="34">
        <v>44</v>
      </c>
      <c r="C57" s="34">
        <f t="shared" si="8"/>
        <v>965.19999999999993</v>
      </c>
      <c r="D57" s="30">
        <f>IF(A57=0,"",IF('Metric Data'!AG46&gt;=1, INDEX(Metric_Incremental[], MATCH('Metric Data'!AG46, Metric_Incremental[Height], 1), MATCH('Cumulative Volumes Metric'!$F$4, Metric_Incremental[#Headers], 0)), 0))</f>
        <v>9.6081268016423776E-2</v>
      </c>
      <c r="E57" s="80">
        <f>IF(A57=0,"",IF('Metric Data'!AG46&gt;=1, INDEX(Metric_Incremental[], MATCH('Metric Data'!AG46, Metric_Incremental[Height], 1), MATCH('Cumulative Volumes Metric'!$F$4 &amp; "EC", Metric_Incremental[#Headers], 0)), 0))</f>
        <v>2.1647063570720639E-2</v>
      </c>
      <c r="F57" s="30">
        <f t="shared" si="9"/>
        <v>9.6081268016423778</v>
      </c>
      <c r="G57" s="30">
        <f t="shared" si="0"/>
        <v>0.21647063570720637</v>
      </c>
      <c r="H57" s="30">
        <f>IF(A57=0,"",IF('Cumulative Volumes Metric'!$AR$17=FALSE,J57,I57))</f>
        <v>2.0645610250601658</v>
      </c>
      <c r="I57" s="30">
        <f t="shared" si="10"/>
        <v>2.0645610250601658</v>
      </c>
      <c r="J57" s="30">
        <f t="shared" si="1"/>
        <v>2.0450335538281665</v>
      </c>
      <c r="K57" s="30">
        <f>IF(A57=0,"",IF('Cumulative Volumes Metric'!$AR$17=FALSE,M57,L57))</f>
        <v>11.88915846240975</v>
      </c>
      <c r="L57" s="30">
        <f t="shared" si="11"/>
        <v>11.88915846240975</v>
      </c>
      <c r="M57" s="30">
        <f t="shared" si="2"/>
        <v>11.86963099117775</v>
      </c>
      <c r="N57" s="30">
        <f>IF(($E$8/25.4)+45+($E$9/25.4)&gt;989,"FALSE",IF(A57="","",IF('Cumulative Volumes Metric'!$AR$17=FALSE,P57,O57)))</f>
        <v>422.46015786153202</v>
      </c>
      <c r="O57" s="30">
        <f t="shared" si="12"/>
        <v>422.46015786153202</v>
      </c>
      <c r="P57" s="30">
        <f>IF(A57=0,"",IF('Cumulative Volumes Metric'!$AR$17=FALSE,(U57*$E$4)+(V57*$E$5),O57))</f>
        <v>422.46015786153202</v>
      </c>
      <c r="Q57" s="30">
        <f>IF(A57=0,"",(((25.4/1000)*'Metric Data'!$AC$4*'Metric Data'!$AC$5)-D57)*($E$6/100))</f>
        <v>1.8114903193430489E-2</v>
      </c>
      <c r="R57" s="30">
        <f t="shared" si="3"/>
        <v>1.8114903193430489</v>
      </c>
      <c r="S57" s="30">
        <f>IF(A57=0,"",(((25.4/1000)*'Metric Data'!$AC$5*'Metric Data'!$AC$7)-E57)*($E$6/100))</f>
        <v>2.3354323448511738E-2</v>
      </c>
      <c r="T57" s="30">
        <f t="shared" si="4"/>
        <v>0.23354323448511738</v>
      </c>
      <c r="U57" s="30">
        <f t="shared" si="5"/>
        <v>4.0482353147525991</v>
      </c>
      <c r="V57" s="30">
        <f t="shared" si="6"/>
        <v>1.6894582479456113</v>
      </c>
      <c r="W57" s="30">
        <f t="shared" si="7"/>
        <v>100.9652</v>
      </c>
    </row>
    <row r="58" spans="1:23" x14ac:dyDescent="0.2">
      <c r="A58" s="34">
        <f t="shared" si="13"/>
        <v>37</v>
      </c>
      <c r="B58" s="34">
        <v>45</v>
      </c>
      <c r="C58" s="34">
        <f t="shared" si="8"/>
        <v>939.8</v>
      </c>
      <c r="D58" s="30">
        <f>IF(A58=0,"",IF('Metric Data'!AG47&gt;=1, INDEX(Metric_Incremental[], MATCH('Metric Data'!AG47, Metric_Incremental[Height], 1), MATCH('Cumulative Volumes Metric'!$F$4, Metric_Incremental[#Headers], 0)), 0))</f>
        <v>9.7376511963754783E-2</v>
      </c>
      <c r="E58" s="80">
        <f>IF(A58=0,"",IF('Metric Data'!AG47&gt;=1, INDEX(Metric_Incremental[], MATCH('Metric Data'!AG47, Metric_Incremental[Height], 1), MATCH('Cumulative Volumes Metric'!$F$4 &amp; "EC", Metric_Incremental[#Headers], 0)), 0))</f>
        <v>2.2243212232762297E-2</v>
      </c>
      <c r="F58" s="30">
        <f t="shared" si="9"/>
        <v>9.737651196375479</v>
      </c>
      <c r="G58" s="30">
        <f t="shared" si="0"/>
        <v>0.22243212232762297</v>
      </c>
      <c r="H58" s="30">
        <f>IF(A58=0,"",IF('Cumulative Volumes Metric'!$AR$17=FALSE,J58,I58))</f>
        <v>2.0103666725187588</v>
      </c>
      <c r="I58" s="30">
        <f t="shared" si="10"/>
        <v>2.0103666725187588</v>
      </c>
      <c r="J58" s="30">
        <f t="shared" si="1"/>
        <v>1.9908392012867591</v>
      </c>
      <c r="K58" s="30">
        <f>IF(A58=0,"",IF('Cumulative Volumes Metric'!$AR$17=FALSE,M58,L58))</f>
        <v>11.97044999122186</v>
      </c>
      <c r="L58" s="30">
        <f t="shared" si="11"/>
        <v>11.97044999122186</v>
      </c>
      <c r="M58" s="30">
        <f t="shared" si="2"/>
        <v>11.950922519989861</v>
      </c>
      <c r="N58" s="30">
        <f>IF(($E$8/25.4)+45+($E$9/25.4)&gt;989,"FALSE",IF(A58="","",IF('Cumulative Volumes Metric'!$AR$17=FALSE,P58,O58)))</f>
        <v>410.57099939912229</v>
      </c>
      <c r="O58" s="30">
        <f t="shared" si="12"/>
        <v>410.57099939912229</v>
      </c>
      <c r="P58" s="30">
        <f>IF(A58=0,"",IF('Cumulative Volumes Metric'!$AR$17=FALSE,(U58*$E$4)+(V58*$E$5),O58))</f>
        <v>410.57099939912229</v>
      </c>
      <c r="Q58" s="30">
        <f>IF(A58=0,"",(((25.4/1000)*'Metric Data'!$AC$4*'Metric Data'!$AC$5)-D58)*($E$6/100))</f>
        <v>1.7596805614498084E-2</v>
      </c>
      <c r="R58" s="30">
        <f t="shared" si="3"/>
        <v>1.7596805614498083</v>
      </c>
      <c r="S58" s="30">
        <f>IF(A58=0,"",(((25.4/1000)*'Metric Data'!$AC$5*'Metric Data'!$AC$7)-E58)*($E$6/100))</f>
        <v>2.3115863983695074E-2</v>
      </c>
      <c r="T58" s="30">
        <f t="shared" si="4"/>
        <v>0.23115863983695073</v>
      </c>
      <c r="U58" s="30">
        <f t="shared" si="5"/>
        <v>3.9340391435427446</v>
      </c>
      <c r="V58" s="30">
        <f t="shared" si="6"/>
        <v>1.644456860926379</v>
      </c>
      <c r="W58" s="30">
        <f t="shared" si="7"/>
        <v>100.93980000000001</v>
      </c>
    </row>
    <row r="59" spans="1:23" x14ac:dyDescent="0.2">
      <c r="A59" s="34">
        <f t="shared" si="13"/>
        <v>36</v>
      </c>
      <c r="B59" s="34">
        <v>46</v>
      </c>
      <c r="C59" s="34">
        <f t="shared" si="8"/>
        <v>914.4</v>
      </c>
      <c r="D59" s="30">
        <f>IF(A59=0,"",IF('Metric Data'!AG48&gt;=1, INDEX(Metric_Incremental[], MATCH('Metric Data'!AG48, Metric_Incremental[Height], 1), MATCH('Cumulative Volumes Metric'!$F$4, Metric_Incremental[#Headers], 0)), 0))</f>
        <v>9.8623255840294188E-2</v>
      </c>
      <c r="E59" s="80">
        <f>IF(A59=0,"",IF('Metric Data'!AG48&gt;=1, INDEX(Metric_Incremental[], MATCH('Metric Data'!AG48, Metric_Incremental[Height], 1), MATCH('Cumulative Volumes Metric'!$F$4 &amp; "EC", Metric_Incremental[#Headers], 0)), 0))</f>
        <v>2.2729755911085982E-2</v>
      </c>
      <c r="F59" s="30">
        <f t="shared" si="9"/>
        <v>9.8623255840294188</v>
      </c>
      <c r="G59" s="30">
        <f t="shared" si="0"/>
        <v>0.2272975591108598</v>
      </c>
      <c r="H59" s="30">
        <f>IF(A59=0,"",IF('Cumulative Volumes Metric'!$AR$17=FALSE,J59,I59))</f>
        <v>1.9585507427438884</v>
      </c>
      <c r="I59" s="30">
        <f t="shared" si="10"/>
        <v>1.9585507427438884</v>
      </c>
      <c r="J59" s="30">
        <f t="shared" si="1"/>
        <v>1.9390232715118885</v>
      </c>
      <c r="K59" s="30">
        <f>IF(A59=0,"",IF('Cumulative Volumes Metric'!$AR$17=FALSE,M59,L59))</f>
        <v>12.048173885884166</v>
      </c>
      <c r="L59" s="30">
        <f t="shared" si="11"/>
        <v>12.048173885884166</v>
      </c>
      <c r="M59" s="30">
        <f t="shared" si="2"/>
        <v>12.028646414652167</v>
      </c>
      <c r="N59" s="30">
        <f>IF(($E$8/25.4)+45+($E$9/25.4)&gt;989,"FALSE",IF(A59="","",IF('Cumulative Volumes Metric'!$AR$17=FALSE,P59,O59)))</f>
        <v>398.60054940790042</v>
      </c>
      <c r="O59" s="30">
        <f t="shared" si="12"/>
        <v>398.60054940790042</v>
      </c>
      <c r="P59" s="30">
        <f>IF(A59=0,"",IF('Cumulative Volumes Metric'!$AR$17=FALSE,(U59*$E$4)+(V59*$E$5),O59))</f>
        <v>398.60054940790042</v>
      </c>
      <c r="Q59" s="30">
        <f>IF(A59=0,"",(((25.4/1000)*'Metric Data'!$AC$4*'Metric Data'!$AC$5)-D59)*($E$6/100))</f>
        <v>1.7098108063882324E-2</v>
      </c>
      <c r="R59" s="30">
        <f t="shared" si="3"/>
        <v>1.7098108063882325</v>
      </c>
      <c r="S59" s="30">
        <f>IF(A59=0,"",(((25.4/1000)*'Metric Data'!$AC$5*'Metric Data'!$AC$7)-E59)*($E$6/100))</f>
        <v>2.2921246512365601E-2</v>
      </c>
      <c r="T59" s="30">
        <f t="shared" si="4"/>
        <v>0.22921246512365601</v>
      </c>
      <c r="U59" s="30">
        <f t="shared" si="5"/>
        <v>3.8190658259644921</v>
      </c>
      <c r="V59" s="30">
        <f t="shared" si="6"/>
        <v>1.5990977847099217</v>
      </c>
      <c r="W59" s="30">
        <f t="shared" si="7"/>
        <v>100.9144</v>
      </c>
    </row>
    <row r="60" spans="1:23" x14ac:dyDescent="0.2">
      <c r="A60" s="34">
        <f t="shared" si="13"/>
        <v>35</v>
      </c>
      <c r="B60" s="34">
        <v>47</v>
      </c>
      <c r="C60" s="34">
        <f t="shared" si="8"/>
        <v>889</v>
      </c>
      <c r="D60" s="30">
        <f>IF(A60=0,"",IF('Metric Data'!AG49&gt;=1, INDEX(Metric_Incremental[], MATCH('Metric Data'!AG49, Metric_Incremental[Height], 1), MATCH('Cumulative Volumes Metric'!$F$4, Metric_Incremental[#Headers], 0)), 0))</f>
        <v>9.9826056349992934E-2</v>
      </c>
      <c r="E60" s="80">
        <f>IF(A60=0,"",IF('Metric Data'!AG49&gt;=1, INDEX(Metric_Incremental[], MATCH('Metric Data'!AG49, Metric_Incremental[Height], 1), MATCH('Cumulative Volumes Metric'!$F$4 &amp; "EC", Metric_Incremental[#Headers], 0)), 0))</f>
        <v>2.3218160838170698E-2</v>
      </c>
      <c r="F60" s="30">
        <f t="shared" si="9"/>
        <v>9.9826056349992935</v>
      </c>
      <c r="G60" s="30">
        <f t="shared" si="0"/>
        <v>0.23218160838170698</v>
      </c>
      <c r="H60" s="30">
        <f>IF(A60=0,"",IF('Cumulative Volumes Metric'!$AR$17=FALSE,J60,I60))</f>
        <v>1.9084851026475995</v>
      </c>
      <c r="I60" s="30">
        <f t="shared" si="10"/>
        <v>1.9084851026475995</v>
      </c>
      <c r="J60" s="30">
        <f t="shared" si="1"/>
        <v>1.8889576314155996</v>
      </c>
      <c r="K60" s="30">
        <f>IF(A60=0,"",IF('Cumulative Volumes Metric'!$AR$17=FALSE,M60,L60))</f>
        <v>12.1232723460286</v>
      </c>
      <c r="L60" s="30">
        <f t="shared" si="11"/>
        <v>12.1232723460286</v>
      </c>
      <c r="M60" s="30">
        <f t="shared" si="2"/>
        <v>12.1037448747966</v>
      </c>
      <c r="N60" s="30">
        <f>IF(($E$8/25.4)+45+($E$9/25.4)&gt;989,"FALSE",IF(A60="","",IF('Cumulative Volumes Metric'!$AR$17=FALSE,P60,O60)))</f>
        <v>386.55237552201623</v>
      </c>
      <c r="O60" s="30">
        <f t="shared" si="12"/>
        <v>386.55237552201623</v>
      </c>
      <c r="P60" s="30">
        <f>IF(A60=0,"",IF('Cumulative Volumes Metric'!$AR$17=FALSE,(U60*$E$4)+(V60*$E$5),O60))</f>
        <v>386.55237552201623</v>
      </c>
      <c r="Q60" s="30">
        <f>IF(A60=0,"",(((25.4/1000)*'Metric Data'!$AC$4*'Metric Data'!$AC$5)-D60)*($E$6/100))</f>
        <v>1.6616987860002826E-2</v>
      </c>
      <c r="R60" s="30">
        <f t="shared" si="3"/>
        <v>1.6616987860002825</v>
      </c>
      <c r="S60" s="30">
        <f>IF(A60=0,"",(((25.4/1000)*'Metric Data'!$AC$5*'Metric Data'!$AC$7)-E60)*($E$6/100))</f>
        <v>2.272588454153171E-2</v>
      </c>
      <c r="T60" s="30">
        <f t="shared" si="4"/>
        <v>0.2272588454153171</v>
      </c>
      <c r="U60" s="30">
        <f t="shared" si="5"/>
        <v>3.7033444620603158</v>
      </c>
      <c r="V60" s="30">
        <f t="shared" si="6"/>
        <v>1.5534467822864702</v>
      </c>
      <c r="W60" s="30">
        <f t="shared" si="7"/>
        <v>100.889</v>
      </c>
    </row>
    <row r="61" spans="1:23" x14ac:dyDescent="0.2">
      <c r="A61" s="34">
        <f t="shared" si="13"/>
        <v>34</v>
      </c>
      <c r="B61" s="34">
        <v>48</v>
      </c>
      <c r="C61" s="34">
        <f t="shared" si="8"/>
        <v>863.59999999999991</v>
      </c>
      <c r="D61" s="30">
        <f>IF(A61=0,"",IF('Metric Data'!AG50&gt;=1, INDEX(Metric_Incremental[], MATCH('Metric Data'!AG50, Metric_Incremental[Height], 1), MATCH('Cumulative Volumes Metric'!$F$4, Metric_Incremental[#Headers], 0)), 0))</f>
        <v>0.10098182755203165</v>
      </c>
      <c r="E61" s="80">
        <f>IF(A61=0,"",IF('Metric Data'!AG50&gt;=1, INDEX(Metric_Incremental[], MATCH('Metric Data'!AG50, Metric_Incremental[Height], 1), MATCH('Cumulative Volumes Metric'!$F$4 &amp; "EC", Metric_Incremental[#Headers], 0)), 0))</f>
        <v>2.3743714285714271E-2</v>
      </c>
      <c r="F61" s="30">
        <f t="shared" si="9"/>
        <v>10.098182755203165</v>
      </c>
      <c r="G61" s="30">
        <f t="shared" si="0"/>
        <v>0.23743714285714271</v>
      </c>
      <c r="H61" s="30">
        <f>IF(A61=0,"",IF('Cumulative Volumes Metric'!$AR$17=FALSE,J61,I61))</f>
        <v>1.8601520407758763</v>
      </c>
      <c r="I61" s="30">
        <f t="shared" si="10"/>
        <v>1.8601520407758763</v>
      </c>
      <c r="J61" s="30">
        <f t="shared" si="1"/>
        <v>1.8406245695438763</v>
      </c>
      <c r="K61" s="30">
        <f>IF(A61=0,"",IF('Cumulative Volumes Metric'!$AR$17=FALSE,M61,L61))</f>
        <v>12.195771938836184</v>
      </c>
      <c r="L61" s="30">
        <f t="shared" si="11"/>
        <v>12.195771938836184</v>
      </c>
      <c r="M61" s="30">
        <f t="shared" si="2"/>
        <v>12.176244467604185</v>
      </c>
      <c r="N61" s="30">
        <f>IF(($E$8/25.4)+45+($E$9/25.4)&gt;989,"FALSE",IF(A61="","",IF('Cumulative Volumes Metric'!$AR$17=FALSE,P61,O61)))</f>
        <v>374.42910317598762</v>
      </c>
      <c r="O61" s="30">
        <f t="shared" si="12"/>
        <v>374.42910317598762</v>
      </c>
      <c r="P61" s="30">
        <f>IF(A61=0,"",IF('Cumulative Volumes Metric'!$AR$17=FALSE,(U61*$E$4)+(V61*$E$5),O61))</f>
        <v>374.42910317598762</v>
      </c>
      <c r="Q61" s="30">
        <f>IF(A61=0,"",(((25.4/1000)*'Metric Data'!$AC$4*'Metric Data'!$AC$5)-D61)*($E$6/100))</f>
        <v>1.6154679379187336E-2</v>
      </c>
      <c r="R61" s="30">
        <f t="shared" si="3"/>
        <v>1.6154679379187336</v>
      </c>
      <c r="S61" s="30">
        <f>IF(A61=0,"",(((25.4/1000)*'Metric Data'!$AC$5*'Metric Data'!$AC$7)-E61)*($E$6/100))</f>
        <v>2.2515663162514285E-2</v>
      </c>
      <c r="T61" s="30">
        <f t="shared" si="4"/>
        <v>0.22515663162514285</v>
      </c>
      <c r="U61" s="30">
        <f t="shared" si="5"/>
        <v>3.5869014178503202</v>
      </c>
      <c r="V61" s="30">
        <f t="shared" si="6"/>
        <v>1.5075027369067677</v>
      </c>
      <c r="W61" s="30">
        <f t="shared" si="7"/>
        <v>100.86360000000001</v>
      </c>
    </row>
    <row r="62" spans="1:23" x14ac:dyDescent="0.2">
      <c r="A62" s="34">
        <f t="shared" si="13"/>
        <v>33</v>
      </c>
      <c r="B62" s="34">
        <v>49</v>
      </c>
      <c r="C62" s="34">
        <f t="shared" si="8"/>
        <v>838.19999999999993</v>
      </c>
      <c r="D62" s="30">
        <f>IF(A62=0,"",IF('Metric Data'!AG51&gt;=1, INDEX(Metric_Incremental[], MATCH('Metric Data'!AG51, Metric_Incremental[Height], 1), MATCH('Cumulative Volumes Metric'!$F$4, Metric_Incremental[#Headers], 0)), 0))</f>
        <v>0.10209779442163418</v>
      </c>
      <c r="E62" s="80">
        <f>IF(A62=0,"",IF('Metric Data'!AG51&gt;=1, INDEX(Metric_Incremental[], MATCH('Metric Data'!AG51, Metric_Incremental[Height], 1), MATCH('Cumulative Volumes Metric'!$F$4 &amp; "EC", Metric_Incremental[#Headers], 0)), 0))</f>
        <v>2.4104535466515645E-2</v>
      </c>
      <c r="F62" s="30">
        <f t="shared" si="9"/>
        <v>10.209779442163418</v>
      </c>
      <c r="G62" s="30">
        <f t="shared" si="0"/>
        <v>0.24104535466515645</v>
      </c>
      <c r="H62" s="30">
        <f>IF(A62=0,"",IF('Cumulative Volumes Metric'!$AR$17=FALSE,J62,I62))</f>
        <v>1.8140700812685702</v>
      </c>
      <c r="I62" s="30">
        <f t="shared" si="10"/>
        <v>1.8140700812685702</v>
      </c>
      <c r="J62" s="30">
        <f t="shared" si="1"/>
        <v>1.79454261003657</v>
      </c>
      <c r="K62" s="30">
        <f>IF(A62=0,"",IF('Cumulative Volumes Metric'!$AR$17=FALSE,M62,L62))</f>
        <v>12.264894878097143</v>
      </c>
      <c r="L62" s="30">
        <f t="shared" si="11"/>
        <v>12.264894878097143</v>
      </c>
      <c r="M62" s="30">
        <f t="shared" si="2"/>
        <v>12.245367406865144</v>
      </c>
      <c r="N62" s="30">
        <f>IF(($E$8/25.4)+45+($E$9/25.4)&gt;989,"FALSE",IF(A62="","",IF('Cumulative Volumes Metric'!$AR$17=FALSE,P62,O62)))</f>
        <v>362.23333123715145</v>
      </c>
      <c r="O62" s="30">
        <f t="shared" si="12"/>
        <v>362.23333123715145</v>
      </c>
      <c r="P62" s="30">
        <f>IF(A62=0,"",IF('Cumulative Volumes Metric'!$AR$17=FALSE,(U62*$E$4)+(V62*$E$5),O62))</f>
        <v>362.23333123715145</v>
      </c>
      <c r="Q62" s="30">
        <f>IF(A62=0,"",(((25.4/1000)*'Metric Data'!$AC$4*'Metric Data'!$AC$5)-D62)*($E$6/100))</f>
        <v>1.5708292631346328E-2</v>
      </c>
      <c r="R62" s="30">
        <f t="shared" si="3"/>
        <v>1.5708292631346328</v>
      </c>
      <c r="S62" s="30">
        <f>IF(A62=0,"",(((25.4/1000)*'Metric Data'!$AC$5*'Metric Data'!$AC$7)-E62)*($E$6/100))</f>
        <v>2.2371334690193735E-2</v>
      </c>
      <c r="T62" s="30">
        <f t="shared" si="4"/>
        <v>0.22371334690193734</v>
      </c>
      <c r="U62" s="30">
        <f t="shared" si="5"/>
        <v>3.4697649109191011</v>
      </c>
      <c r="V62" s="30">
        <f t="shared" si="6"/>
        <v>1.4612433594585392</v>
      </c>
      <c r="W62" s="30">
        <f t="shared" si="7"/>
        <v>100.8382</v>
      </c>
    </row>
    <row r="63" spans="1:23" x14ac:dyDescent="0.2">
      <c r="A63" s="34">
        <f t="shared" si="13"/>
        <v>32</v>
      </c>
      <c r="B63" s="34">
        <v>50</v>
      </c>
      <c r="C63" s="34">
        <f t="shared" si="8"/>
        <v>812.8</v>
      </c>
      <c r="D63" s="30">
        <f>IF(A63=0,"",IF('Metric Data'!AG52&gt;=1, INDEX(Metric_Incremental[], MATCH('Metric Data'!AG52, Metric_Incremental[Height], 1), MATCH('Cumulative Volumes Metric'!$F$4, Metric_Incremental[#Headers], 0)), 0))</f>
        <v>0.10317083703808551</v>
      </c>
      <c r="E63" s="80">
        <f>IF(A63=0,"",IF('Metric Data'!AG52&gt;=1, INDEX(Metric_Incremental[], MATCH('Metric Data'!AG52, Metric_Incremental[Height], 1), MATCH('Cumulative Volumes Metric'!$F$4 &amp; "EC", Metric_Incremental[#Headers], 0)), 0))</f>
        <v>2.4338602010477144E-2</v>
      </c>
      <c r="F63" s="30">
        <f t="shared" si="9"/>
        <v>10.317083703808551</v>
      </c>
      <c r="G63" s="30">
        <f t="shared" si="0"/>
        <v>0.24338602010477145</v>
      </c>
      <c r="H63" s="30">
        <f>IF(A63=0,"",IF('Cumulative Volumes Metric'!$AR$17=FALSE,J63,I63))</f>
        <v>1.7702121104346702</v>
      </c>
      <c r="I63" s="30">
        <f t="shared" si="10"/>
        <v>1.7702121104346702</v>
      </c>
      <c r="J63" s="30">
        <f t="shared" si="1"/>
        <v>1.7506846392026709</v>
      </c>
      <c r="K63" s="30">
        <f>IF(A63=0,"",IF('Cumulative Volumes Metric'!$AR$17=FALSE,M63,L63))</f>
        <v>12.330681834347994</v>
      </c>
      <c r="L63" s="30">
        <f t="shared" si="11"/>
        <v>12.330681834347994</v>
      </c>
      <c r="M63" s="30">
        <f t="shared" si="2"/>
        <v>12.311154363115994</v>
      </c>
      <c r="N63" s="30">
        <f>IF(($E$8/25.4)+45+($E$9/25.4)&gt;989,"FALSE",IF(A63="","",IF('Cumulative Volumes Metric'!$AR$17=FALSE,P63,O63)))</f>
        <v>349.96843635905429</v>
      </c>
      <c r="O63" s="30">
        <f t="shared" si="12"/>
        <v>349.96843635905429</v>
      </c>
      <c r="P63" s="30">
        <f>IF(A63=0,"",IF('Cumulative Volumes Metric'!$AR$17=FALSE,(U63*$E$4)+(V63*$E$5),O63))</f>
        <v>349.96843635905429</v>
      </c>
      <c r="Q63" s="30">
        <f>IF(A63=0,"",(((25.4/1000)*'Metric Data'!$AC$4*'Metric Data'!$AC$5)-D63)*($E$6/100))</f>
        <v>1.5279075584765794E-2</v>
      </c>
      <c r="R63" s="30">
        <f t="shared" si="3"/>
        <v>1.5279075584765796</v>
      </c>
      <c r="S63" s="30">
        <f>IF(A63=0,"",(((25.4/1000)*'Metric Data'!$AC$5*'Metric Data'!$AC$7)-E63)*($E$6/100))</f>
        <v>2.2277708072609134E-2</v>
      </c>
      <c r="T63" s="30">
        <f t="shared" si="4"/>
        <v>0.22277708072609134</v>
      </c>
      <c r="U63" s="30">
        <f t="shared" si="5"/>
        <v>3.3519588238661204</v>
      </c>
      <c r="V63" s="30">
        <f t="shared" si="6"/>
        <v>1.4147674893018298</v>
      </c>
      <c r="W63" s="30">
        <f t="shared" si="7"/>
        <v>100.8128</v>
      </c>
    </row>
    <row r="64" spans="1:23" x14ac:dyDescent="0.2">
      <c r="A64" s="34">
        <f t="shared" si="13"/>
        <v>31</v>
      </c>
      <c r="B64" s="34">
        <v>51</v>
      </c>
      <c r="C64" s="34">
        <f t="shared" si="8"/>
        <v>787.4</v>
      </c>
      <c r="D64" s="30">
        <f>IF(A64=0,"",IF('Metric Data'!AG53&gt;=1, INDEX(Metric_Incremental[], MATCH('Metric Data'!AG53, Metric_Incremental[Height], 1), MATCH('Cumulative Volumes Metric'!$F$4, Metric_Incremental[#Headers], 0)), 0))</f>
        <v>0.10420340365283906</v>
      </c>
      <c r="E64" s="80">
        <f>IF(A64=0,"",IF('Metric Data'!AG53&gt;=1, INDEX(Metric_Incremental[], MATCH('Metric Data'!AG53, Metric_Incremental[Height], 1), MATCH('Cumulative Volumes Metric'!$F$4 &amp; "EC", Metric_Incremental[#Headers], 0)), 0))</f>
        <v>2.5186301288404416E-2</v>
      </c>
      <c r="F64" s="30">
        <f t="shared" si="9"/>
        <v>10.420340365283906</v>
      </c>
      <c r="G64" s="30">
        <f t="shared" si="0"/>
        <v>0.25186301288404417</v>
      </c>
      <c r="H64" s="30">
        <f>IF(A64=0,"",IF('Cumulative Volumes Metric'!$AR$17=FALSE,J64,I64))</f>
        <v>1.7255186487328196</v>
      </c>
      <c r="I64" s="30">
        <f t="shared" si="10"/>
        <v>1.7255186487328196</v>
      </c>
      <c r="J64" s="30">
        <f t="shared" si="1"/>
        <v>1.7059911775008199</v>
      </c>
      <c r="K64" s="30">
        <f>IF(A64=0,"",IF('Cumulative Volumes Metric'!$AR$17=FALSE,M64,L64))</f>
        <v>12.39772202690077</v>
      </c>
      <c r="L64" s="30">
        <f t="shared" si="11"/>
        <v>12.39772202690077</v>
      </c>
      <c r="M64" s="30">
        <f t="shared" si="2"/>
        <v>12.37819455566877</v>
      </c>
      <c r="N64" s="30">
        <f>IF(($E$8/25.4)+45+($E$9/25.4)&gt;989,"FALSE",IF(A64="","",IF('Cumulative Volumes Metric'!$AR$17=FALSE,P64,O64)))</f>
        <v>337.63775452470628</v>
      </c>
      <c r="O64" s="30">
        <f t="shared" si="12"/>
        <v>337.63775452470628</v>
      </c>
      <c r="P64" s="30">
        <f>IF(A64=0,"",IF('Cumulative Volumes Metric'!$AR$17=FALSE,(U64*$E$4)+(V64*$E$5),O64))</f>
        <v>337.63775452470628</v>
      </c>
      <c r="Q64" s="30">
        <f>IF(A64=0,"",(((25.4/1000)*'Metric Data'!$AC$4*'Metric Data'!$AC$5)-D64)*($E$6/100))</f>
        <v>1.4866048938864375E-2</v>
      </c>
      <c r="R64" s="30">
        <f t="shared" si="3"/>
        <v>1.4866048938864376</v>
      </c>
      <c r="S64" s="30">
        <f>IF(A64=0,"",(((25.4/1000)*'Metric Data'!$AC$5*'Metric Data'!$AC$7)-E64)*($E$6/100))</f>
        <v>2.1938628361438225E-2</v>
      </c>
      <c r="T64" s="30">
        <f t="shared" si="4"/>
        <v>0.21938628361438225</v>
      </c>
      <c r="U64" s="30">
        <f t="shared" si="5"/>
        <v>3.2335089112432693</v>
      </c>
      <c r="V64" s="30">
        <f t="shared" si="6"/>
        <v>1.3681511792187435</v>
      </c>
      <c r="W64" s="30">
        <f t="shared" si="7"/>
        <v>100.78740000000001</v>
      </c>
    </row>
    <row r="65" spans="1:23" x14ac:dyDescent="0.2">
      <c r="A65" s="34">
        <f t="shared" si="13"/>
        <v>30</v>
      </c>
      <c r="B65" s="34">
        <v>52</v>
      </c>
      <c r="C65" s="34">
        <f t="shared" si="8"/>
        <v>762</v>
      </c>
      <c r="D65" s="30">
        <f>IF(A65=0,"",IF('Metric Data'!AG54&gt;=1, INDEX(Metric_Incremental[], MATCH('Metric Data'!AG54, Metric_Incremental[Height], 1), MATCH('Cumulative Volumes Metric'!$F$4, Metric_Incremental[#Headers], 0)), 0))</f>
        <v>0.10519599575251305</v>
      </c>
      <c r="E65" s="80">
        <f>IF(A65=0,"",IF('Metric Data'!AG54&gt;=1, INDEX(Metric_Incremental[], MATCH('Metric Data'!AG54, Metric_Incremental[Height], 1), MATCH('Cumulative Volumes Metric'!$F$4 &amp; "EC", Metric_Incremental[#Headers], 0)), 0))</f>
        <v>2.5605019396856839E-2</v>
      </c>
      <c r="F65" s="30">
        <f t="shared" si="9"/>
        <v>10.519599575251306</v>
      </c>
      <c r="G65" s="30">
        <f t="shared" si="0"/>
        <v>0.25605019396856837</v>
      </c>
      <c r="H65" s="30">
        <f>IF(A65=0,"",IF('Cumulative Volumes Metric'!$AR$17=FALSE,J65,I65))</f>
        <v>1.6841400923120504</v>
      </c>
      <c r="I65" s="30">
        <f t="shared" si="10"/>
        <v>1.6841400923120504</v>
      </c>
      <c r="J65" s="30">
        <f t="shared" si="1"/>
        <v>1.6646126210800503</v>
      </c>
      <c r="K65" s="30">
        <f>IF(A65=0,"",IF('Cumulative Volumes Metric'!$AR$17=FALSE,M65,L65))</f>
        <v>12.459789861531924</v>
      </c>
      <c r="L65" s="30">
        <f t="shared" si="11"/>
        <v>12.459789861531924</v>
      </c>
      <c r="M65" s="30">
        <f t="shared" si="2"/>
        <v>12.440262390299923</v>
      </c>
      <c r="N65" s="30">
        <f>IF(($E$8/25.4)+45+($E$9/25.4)&gt;989,"FALSE",IF(A65="","",IF('Cumulative Volumes Metric'!$AR$17=FALSE,P65,O65)))</f>
        <v>325.24003249780549</v>
      </c>
      <c r="O65" s="30">
        <f t="shared" si="12"/>
        <v>325.24003249780549</v>
      </c>
      <c r="P65" s="30">
        <f>IF(A65=0,"",IF('Cumulative Volumes Metric'!$AR$17=FALSE,(U65*$E$4)+(V65*$E$5),O65))</f>
        <v>325.24003249780549</v>
      </c>
      <c r="Q65" s="30">
        <f>IF(A65=0,"",(((25.4/1000)*'Metric Data'!$AC$4*'Metric Data'!$AC$5)-D65)*($E$6/100))</f>
        <v>1.4469012098994777E-2</v>
      </c>
      <c r="R65" s="30">
        <f t="shared" si="3"/>
        <v>1.4469012098994778</v>
      </c>
      <c r="S65" s="30">
        <f>IF(A65=0,"",(((25.4/1000)*'Metric Data'!$AC$5*'Metric Data'!$AC$7)-E65)*($E$6/100))</f>
        <v>2.1771141118057256E-2</v>
      </c>
      <c r="T65" s="30">
        <f t="shared" si="4"/>
        <v>0.21771141118057255</v>
      </c>
      <c r="U65" s="30">
        <f t="shared" si="5"/>
        <v>3.1144394586515656</v>
      </c>
      <c r="V65" s="30">
        <f t="shared" si="6"/>
        <v>1.3210262495689009</v>
      </c>
      <c r="W65" s="30">
        <f t="shared" si="7"/>
        <v>100.762</v>
      </c>
    </row>
    <row r="66" spans="1:23" x14ac:dyDescent="0.2">
      <c r="A66" s="34">
        <f t="shared" si="13"/>
        <v>29</v>
      </c>
      <c r="B66" s="34">
        <v>53</v>
      </c>
      <c r="C66" s="34">
        <f t="shared" si="8"/>
        <v>736.59999999999991</v>
      </c>
      <c r="D66" s="30">
        <f>IF(A66=0,"",IF('Metric Data'!AG55&gt;=1, INDEX(Metric_Incremental[], MATCH('Metric Data'!AG55, Metric_Incremental[Height], 1), MATCH('Cumulative Volumes Metric'!$F$4, Metric_Incremental[#Headers], 0)), 0))</f>
        <v>0.10615008806456175</v>
      </c>
      <c r="E66" s="80">
        <f>IF(A66=0,"",IF('Metric Data'!AG55&gt;=1, INDEX(Metric_Incremental[], MATCH('Metric Data'!AG55, Metric_Incremental[Height], 1), MATCH('Cumulative Volumes Metric'!$F$4 &amp; "EC", Metric_Incremental[#Headers], 0)), 0))</f>
        <v>2.5973384114398999E-2</v>
      </c>
      <c r="F66" s="30">
        <f t="shared" si="9"/>
        <v>10.615008806456174</v>
      </c>
      <c r="G66" s="30">
        <f t="shared" si="0"/>
        <v>0.25973384114399001</v>
      </c>
      <c r="H66" s="30">
        <f>IF(A66=0,"",IF('Cumulative Volumes Metric'!$AR$17=FALSE,J66,I66))</f>
        <v>1.6445029409599337</v>
      </c>
      <c r="I66" s="30">
        <f t="shared" si="10"/>
        <v>1.6445029409599337</v>
      </c>
      <c r="J66" s="30">
        <f t="shared" si="1"/>
        <v>1.6249754697279337</v>
      </c>
      <c r="K66" s="30">
        <f>IF(A66=0,"",IF('Cumulative Volumes Metric'!$AR$17=FALSE,M66,L66))</f>
        <v>12.519245588560098</v>
      </c>
      <c r="L66" s="30">
        <f t="shared" si="11"/>
        <v>12.519245588560098</v>
      </c>
      <c r="M66" s="30">
        <f t="shared" si="2"/>
        <v>12.499718117328099</v>
      </c>
      <c r="N66" s="30">
        <f>IF(($E$8/25.4)+45+($E$9/25.4)&gt;989,"FALSE",IF(A66="","",IF('Cumulative Volumes Metric'!$AR$17=FALSE,P66,O66)))</f>
        <v>312.78024263627356</v>
      </c>
      <c r="O66" s="30">
        <f t="shared" si="12"/>
        <v>312.78024263627356</v>
      </c>
      <c r="P66" s="30">
        <f>IF(A66=0,"",IF('Cumulative Volumes Metric'!$AR$17=FALSE,(U66*$E$4)+(V66*$E$5),O66))</f>
        <v>312.78024263627356</v>
      </c>
      <c r="Q66" s="30">
        <f>IF(A66=0,"",(((25.4/1000)*'Metric Data'!$AC$4*'Metric Data'!$AC$5)-D66)*($E$6/100))</f>
        <v>1.4087375174175298E-2</v>
      </c>
      <c r="R66" s="30">
        <f t="shared" si="3"/>
        <v>1.4087375174175298</v>
      </c>
      <c r="S66" s="30">
        <f>IF(A66=0,"",(((25.4/1000)*'Metric Data'!$AC$5*'Metric Data'!$AC$7)-E66)*($E$6/100))</f>
        <v>2.1623795231040393E-2</v>
      </c>
      <c r="T66" s="30">
        <f t="shared" si="4"/>
        <v>0.21623795231040394</v>
      </c>
      <c r="U66" s="30">
        <f t="shared" si="5"/>
        <v>2.9947744508000578</v>
      </c>
      <c r="V66" s="30">
        <f t="shared" si="6"/>
        <v>1.2736500890539868</v>
      </c>
      <c r="W66" s="30">
        <f t="shared" si="7"/>
        <v>100.7366</v>
      </c>
    </row>
    <row r="67" spans="1:23" x14ac:dyDescent="0.2">
      <c r="A67" s="34">
        <f t="shared" si="13"/>
        <v>28</v>
      </c>
      <c r="B67" s="34">
        <v>54</v>
      </c>
      <c r="C67" s="34">
        <f t="shared" si="8"/>
        <v>711.19999999999993</v>
      </c>
      <c r="D67" s="30">
        <f>IF(A67=0,"",IF('Metric Data'!AG56&gt;=1, INDEX(Metric_Incremental[], MATCH('Metric Data'!AG56, Metric_Incremental[Height], 1), MATCH('Cumulative Volumes Metric'!$F$4, Metric_Incremental[#Headers], 0)), 0))</f>
        <v>0.1070649432252584</v>
      </c>
      <c r="E67" s="80">
        <f>IF(A67=0,"",IF('Metric Data'!AG56&gt;=1, INDEX(Metric_Incremental[], MATCH('Metric Data'!AG56, Metric_Incremental[Height], 1), MATCH('Cumulative Volumes Metric'!$F$4 &amp; "EC", Metric_Incremental[#Headers], 0)), 0))</f>
        <v>2.6045918731417268E-2</v>
      </c>
      <c r="F67" s="30">
        <f t="shared" si="9"/>
        <v>10.70649432252584</v>
      </c>
      <c r="G67" s="30">
        <f t="shared" si="0"/>
        <v>0.26045918731417267</v>
      </c>
      <c r="H67" s="30">
        <f>IF(A67=0,"",IF('Cumulative Volumes Metric'!$AR$17=FALSE,J67,I67))</f>
        <v>1.6076185960639948</v>
      </c>
      <c r="I67" s="30">
        <f t="shared" si="10"/>
        <v>1.6076185960639948</v>
      </c>
      <c r="J67" s="30">
        <f t="shared" si="1"/>
        <v>1.5880911248319944</v>
      </c>
      <c r="K67" s="30">
        <f>IF(A67=0,"",IF('Cumulative Volumes Metric'!$AR$17=FALSE,M67,L67))</f>
        <v>12.574572105904007</v>
      </c>
      <c r="L67" s="30">
        <f t="shared" si="11"/>
        <v>12.574572105904007</v>
      </c>
      <c r="M67" s="30">
        <f t="shared" si="2"/>
        <v>12.555044634672006</v>
      </c>
      <c r="N67" s="30">
        <f>IF(($E$8/25.4)+45+($E$9/25.4)&gt;989,"FALSE",IF(A67="","",IF('Cumulative Volumes Metric'!$AR$17=FALSE,P67,O67)))</f>
        <v>300.26099704771343</v>
      </c>
      <c r="O67" s="30">
        <f t="shared" si="12"/>
        <v>300.26099704771343</v>
      </c>
      <c r="P67" s="30">
        <f>IF(A67=0,"",IF('Cumulative Volumes Metric'!$AR$17=FALSE,(U67*$E$4)+(V67*$E$5),O67))</f>
        <v>300.26099704771343</v>
      </c>
      <c r="Q67" s="30">
        <f>IF(A67=0,"",(((25.4/1000)*'Metric Data'!$AC$4*'Metric Data'!$AC$5)-D67)*($E$6/100))</f>
        <v>1.3721433109896637E-2</v>
      </c>
      <c r="R67" s="30">
        <f t="shared" si="3"/>
        <v>1.3721433109896637</v>
      </c>
      <c r="S67" s="30">
        <f>IF(A67=0,"",(((25.4/1000)*'Metric Data'!$AC$5*'Metric Data'!$AC$7)-E67)*($E$6/100))</f>
        <v>2.1594781384233083E-2</v>
      </c>
      <c r="T67" s="30">
        <f t="shared" si="4"/>
        <v>0.21594781384233083</v>
      </c>
      <c r="U67" s="30">
        <f t="shared" si="5"/>
        <v>2.8745369875613207</v>
      </c>
      <c r="V67" s="30">
        <f t="shared" si="6"/>
        <v>1.2260529097085475</v>
      </c>
      <c r="W67" s="30">
        <f t="shared" si="7"/>
        <v>100.71120000000001</v>
      </c>
    </row>
    <row r="68" spans="1:23" x14ac:dyDescent="0.2">
      <c r="A68" s="34">
        <f t="shared" si="13"/>
        <v>27</v>
      </c>
      <c r="B68" s="34">
        <v>55</v>
      </c>
      <c r="C68" s="34">
        <f t="shared" si="8"/>
        <v>685.8</v>
      </c>
      <c r="D68" s="30">
        <f>IF(A68=0,"",IF('Metric Data'!AG57&gt;=1, INDEX(Metric_Incremental[], MATCH('Metric Data'!AG57, Metric_Incremental[Height], 1), MATCH('Cumulative Volumes Metric'!$F$4, Metric_Incremental[#Headers], 0)), 0))</f>
        <v>0.10794410845249905</v>
      </c>
      <c r="E68" s="80">
        <f>IF(A68=0,"",IF('Metric Data'!AG57&gt;=1, INDEX(Metric_Incremental[], MATCH('Metric Data'!AG57, Metric_Incremental[Height], 1), MATCH('Cumulative Volumes Metric'!$F$4 &amp; "EC", Metric_Incremental[#Headers], 0)), 0))</f>
        <v>2.6714145547217814E-2</v>
      </c>
      <c r="F68" s="30">
        <f t="shared" si="9"/>
        <v>10.794410845249905</v>
      </c>
      <c r="G68" s="30">
        <f t="shared" si="0"/>
        <v>0.26714145547217816</v>
      </c>
      <c r="H68" s="30">
        <f>IF(A68=0,"",IF('Cumulative Volumes Metric'!$AR$17=FALSE,J68,I68))</f>
        <v>1.5697790797111666</v>
      </c>
      <c r="I68" s="30">
        <f t="shared" si="10"/>
        <v>1.5697790797111666</v>
      </c>
      <c r="J68" s="30">
        <f t="shared" si="1"/>
        <v>1.5502516084791664</v>
      </c>
      <c r="K68" s="30">
        <f>IF(A68=0,"",IF('Cumulative Volumes Metric'!$AR$17=FALSE,M68,L68))</f>
        <v>12.631331380433249</v>
      </c>
      <c r="L68" s="30">
        <f t="shared" si="11"/>
        <v>12.631331380433249</v>
      </c>
      <c r="M68" s="30">
        <f t="shared" si="2"/>
        <v>12.611803909201249</v>
      </c>
      <c r="N68" s="30">
        <f>IF(($E$8/25.4)+45+($E$9/25.4)&gt;989,"FALSE",IF(A68="","",IF('Cumulative Volumes Metric'!$AR$17=FALSE,P68,O68)))</f>
        <v>287.68642494180943</v>
      </c>
      <c r="O68" s="30">
        <f t="shared" si="12"/>
        <v>287.68642494180943</v>
      </c>
      <c r="P68" s="30">
        <f>IF(A68=0,"",IF('Cumulative Volumes Metric'!$AR$17=FALSE,(U68*$E$4)+(V68*$E$5),O68))</f>
        <v>287.68642494180943</v>
      </c>
      <c r="Q68" s="30">
        <f>IF(A68=0,"",(((25.4/1000)*'Metric Data'!$AC$4*'Metric Data'!$AC$5)-D68)*($E$6/100))</f>
        <v>1.3369767019000379E-2</v>
      </c>
      <c r="R68" s="30">
        <f t="shared" si="3"/>
        <v>1.3369767019000378</v>
      </c>
      <c r="S68" s="30">
        <f>IF(A68=0,"",(((25.4/1000)*'Metric Data'!$AC$5*'Metric Data'!$AC$7)-E68)*($E$6/100))</f>
        <v>2.1327490657912868E-2</v>
      </c>
      <c r="T68" s="30">
        <f t="shared" si="4"/>
        <v>0.21327490657912868</v>
      </c>
      <c r="U68" s="30">
        <f t="shared" si="5"/>
        <v>2.7537506112261654</v>
      </c>
      <c r="V68" s="30">
        <f t="shared" si="6"/>
        <v>1.1784122095928973</v>
      </c>
      <c r="W68" s="30">
        <f t="shared" si="7"/>
        <v>100.6858</v>
      </c>
    </row>
    <row r="69" spans="1:23" x14ac:dyDescent="0.2">
      <c r="A69" s="34">
        <f t="shared" si="13"/>
        <v>26</v>
      </c>
      <c r="B69" s="34">
        <v>56</v>
      </c>
      <c r="C69" s="34">
        <f t="shared" si="8"/>
        <v>660.4</v>
      </c>
      <c r="D69" s="30">
        <f>IF(A69=0,"",IF('Metric Data'!AG58&gt;=1, INDEX(Metric_Incremental[], MATCH('Metric Data'!AG58, Metric_Incremental[Height], 1), MATCH('Cumulative Volumes Metric'!$F$4, Metric_Incremental[#Headers], 0)), 0))</f>
        <v>0.10878360356788869</v>
      </c>
      <c r="E69" s="80">
        <f>IF(A69=0,"",IF('Metric Data'!AG58&gt;=1, INDEX(Metric_Incremental[], MATCH('Metric Data'!AG58, Metric_Incremental[Height], 1), MATCH('Cumulative Volumes Metric'!$F$4 &amp; "EC", Metric_Incremental[#Headers], 0)), 0))</f>
        <v>2.7080302704233328E-2</v>
      </c>
      <c r="F69" s="30">
        <f t="shared" si="9"/>
        <v>10.878360356788869</v>
      </c>
      <c r="G69" s="30">
        <f t="shared" si="0"/>
        <v>0.27080302704233328</v>
      </c>
      <c r="H69" s="30">
        <f>IF(A69=0,"",IF('Cumulative Volumes Metric'!$AR$17=FALSE,J69,I69))</f>
        <v>1.5347346464675184</v>
      </c>
      <c r="I69" s="30">
        <f t="shared" si="10"/>
        <v>1.5347346464675184</v>
      </c>
      <c r="J69" s="30">
        <f t="shared" si="1"/>
        <v>1.515207175235519</v>
      </c>
      <c r="K69" s="30">
        <f>IF(A69=0,"",IF('Cumulative Volumes Metric'!$AR$17=FALSE,M69,L69))</f>
        <v>12.683898030298721</v>
      </c>
      <c r="L69" s="30">
        <f t="shared" si="11"/>
        <v>12.683898030298721</v>
      </c>
      <c r="M69" s="30">
        <f t="shared" si="2"/>
        <v>12.664370559066722</v>
      </c>
      <c r="N69" s="30">
        <f>IF(($E$8/25.4)+45+($E$9/25.4)&gt;989,"FALSE",IF(A69="","",IF('Cumulative Volumes Metric'!$AR$17=FALSE,P69,O69)))</f>
        <v>275.05509356137617</v>
      </c>
      <c r="O69" s="30">
        <f t="shared" si="12"/>
        <v>275.05509356137617</v>
      </c>
      <c r="P69" s="30">
        <f>IF(A69=0,"",IF('Cumulative Volumes Metric'!$AR$17=FALSE,(U69*$E$4)+(V69*$E$5),O69))</f>
        <v>275.05509356137617</v>
      </c>
      <c r="Q69" s="30">
        <f>IF(A69=0,"",(((25.4/1000)*'Metric Data'!$AC$4*'Metric Data'!$AC$5)-D69)*($E$6/100))</f>
        <v>1.3033968972844524E-2</v>
      </c>
      <c r="R69" s="30">
        <f t="shared" si="3"/>
        <v>1.3033968972844523</v>
      </c>
      <c r="S69" s="30">
        <f>IF(A69=0,"",(((25.4/1000)*'Metric Data'!$AC$5*'Metric Data'!$AC$7)-E69)*($E$6/100))</f>
        <v>2.1181027795106663E-2</v>
      </c>
      <c r="T69" s="30">
        <f t="shared" si="4"/>
        <v>0.21181027795106663</v>
      </c>
      <c r="U69" s="30">
        <f t="shared" si="5"/>
        <v>2.6324367357546659</v>
      </c>
      <c r="V69" s="30">
        <f t="shared" si="6"/>
        <v>1.1303705733877667</v>
      </c>
      <c r="W69" s="30">
        <f t="shared" si="7"/>
        <v>100.6604</v>
      </c>
    </row>
    <row r="70" spans="1:23" x14ac:dyDescent="0.2">
      <c r="A70" s="34">
        <f t="shared" si="13"/>
        <v>25</v>
      </c>
      <c r="B70" s="34">
        <v>57</v>
      </c>
      <c r="C70" s="34">
        <f t="shared" si="8"/>
        <v>635</v>
      </c>
      <c r="D70" s="30">
        <f>IF(A70=0,"",IF('Metric Data'!AG59&gt;=1, INDEX(Metric_Incremental[], MATCH('Metric Data'!AG59, Metric_Incremental[Height], 1), MATCH('Cumulative Volumes Metric'!$F$4, Metric_Incremental[#Headers], 0)), 0))</f>
        <v>0.1095897460002833</v>
      </c>
      <c r="E70" s="80">
        <f>IF(A70=0,"",IF('Metric Data'!AG59&gt;=1, INDEX(Metric_Incremental[], MATCH('Metric Data'!AG59, Metric_Incremental[Height], 1), MATCH('Cumulative Volumes Metric'!$F$4 &amp; "EC", Metric_Incremental[#Headers], 0)), 0))</f>
        <v>2.7428602576808753E-2</v>
      </c>
      <c r="F70" s="30">
        <f t="shared" si="9"/>
        <v>10.958974600028331</v>
      </c>
      <c r="G70" s="30">
        <f t="shared" si="0"/>
        <v>0.27428602576808753</v>
      </c>
      <c r="H70" s="30">
        <f>IF(A70=0,"",IF('Cumulative Volumes Metric'!$AR$17=FALSE,J70,I70))</f>
        <v>1.5010957496814321</v>
      </c>
      <c r="I70" s="30">
        <f t="shared" si="10"/>
        <v>1.5010957496814321</v>
      </c>
      <c r="J70" s="30">
        <f t="shared" si="1"/>
        <v>1.4815682784494326</v>
      </c>
      <c r="K70" s="30">
        <f>IF(A70=0,"",IF('Cumulative Volumes Metric'!$AR$17=FALSE,M70,L70))</f>
        <v>12.734356375477851</v>
      </c>
      <c r="L70" s="30">
        <f t="shared" si="11"/>
        <v>12.734356375477851</v>
      </c>
      <c r="M70" s="30">
        <f t="shared" si="2"/>
        <v>12.714828904245852</v>
      </c>
      <c r="N70" s="30">
        <f>IF(($E$8/25.4)+45+($E$9/25.4)&gt;989,"FALSE",IF(A70="","",IF('Cumulative Volumes Metric'!$AR$17=FALSE,P70,O70)))</f>
        <v>262.37119553107743</v>
      </c>
      <c r="O70" s="30">
        <f t="shared" si="12"/>
        <v>262.37119553107743</v>
      </c>
      <c r="P70" s="30">
        <f>IF(A70=0,"",IF('Cumulative Volumes Metric'!$AR$17=FALSE,(U70*$E$4)+(V70*$E$5),O70))</f>
        <v>262.37119553107743</v>
      </c>
      <c r="Q70" s="30">
        <f>IF(A70=0,"",(((25.4/1000)*'Metric Data'!$AC$4*'Metric Data'!$AC$5)-D70)*($E$6/100))</f>
        <v>1.2711511999886677E-2</v>
      </c>
      <c r="R70" s="30">
        <f t="shared" si="3"/>
        <v>1.2711511999886678</v>
      </c>
      <c r="S70" s="30">
        <f>IF(A70=0,"",(((25.4/1000)*'Metric Data'!$AC$5*'Metric Data'!$AC$7)-E70)*($E$6/100))</f>
        <v>2.1041707846076493E-2</v>
      </c>
      <c r="T70" s="30">
        <f t="shared" si="4"/>
        <v>0.21041707846076493</v>
      </c>
      <c r="U70" s="30">
        <f t="shared" si="5"/>
        <v>2.5106191632139323</v>
      </c>
      <c r="V70" s="30">
        <f t="shared" si="6"/>
        <v>1.0821092428884269</v>
      </c>
      <c r="W70" s="30">
        <f t="shared" si="7"/>
        <v>100.63500000000001</v>
      </c>
    </row>
    <row r="71" spans="1:23" x14ac:dyDescent="0.2">
      <c r="A71" s="34">
        <f t="shared" si="13"/>
        <v>24</v>
      </c>
      <c r="B71" s="34">
        <v>58</v>
      </c>
      <c r="C71" s="34">
        <f t="shared" si="8"/>
        <v>609.59999999999991</v>
      </c>
      <c r="D71" s="30">
        <f>IF(A71=0,"",IF('Metric Data'!AG60&gt;=1, INDEX(Metric_Incremental[], MATCH('Metric Data'!AG60, Metric_Incremental[Height], 1), MATCH('Cumulative Volumes Metric'!$F$4, Metric_Incremental[#Headers], 0)), 0))</f>
        <v>0.11036108112699988</v>
      </c>
      <c r="E71" s="80">
        <f>IF(A71=0,"",IF('Metric Data'!AG60&gt;=1, INDEX(Metric_Incremental[], MATCH('Metric Data'!AG60, Metric_Incremental[Height], 1), MATCH('Cumulative Volumes Metric'!$F$4 &amp; "EC", Metric_Incremental[#Headers], 0)), 0))</f>
        <v>2.7789317853603321E-2</v>
      </c>
      <c r="F71" s="30">
        <f t="shared" si="9"/>
        <v>11.036108112699988</v>
      </c>
      <c r="G71" s="30">
        <f t="shared" si="0"/>
        <v>0.27789317853603324</v>
      </c>
      <c r="H71" s="30">
        <f>IF(A71=0,"",IF('Cumulative Volumes Metric'!$AR$17=FALSE,J71,I71))</f>
        <v>1.4687994835055911</v>
      </c>
      <c r="I71" s="30">
        <f t="shared" si="10"/>
        <v>1.4687994835055911</v>
      </c>
      <c r="J71" s="30">
        <f t="shared" si="1"/>
        <v>1.4492720122735911</v>
      </c>
      <c r="K71" s="30">
        <f>IF(A71=0,"",IF('Cumulative Volumes Metric'!$AR$17=FALSE,M71,L71))</f>
        <v>12.782800774741613</v>
      </c>
      <c r="L71" s="30">
        <f t="shared" si="11"/>
        <v>12.782800774741613</v>
      </c>
      <c r="M71" s="30">
        <f t="shared" si="2"/>
        <v>12.763273303509612</v>
      </c>
      <c r="N71" s="30">
        <f>IF(($E$8/25.4)+45+($E$9/25.4)&gt;989,"FALSE",IF(A71="","",IF('Cumulative Volumes Metric'!$AR$17=FALSE,P71,O71)))</f>
        <v>249.6368391555996</v>
      </c>
      <c r="O71" s="30">
        <f t="shared" si="12"/>
        <v>249.6368391555996</v>
      </c>
      <c r="P71" s="30">
        <f>IF(A71=0,"",IF('Cumulative Volumes Metric'!$AR$17=FALSE,(U71*$E$4)+(V71*$E$5),O71))</f>
        <v>249.6368391555996</v>
      </c>
      <c r="Q71" s="30">
        <f>IF(A71=0,"",(((25.4/1000)*'Metric Data'!$AC$4*'Metric Data'!$AC$5)-D71)*($E$6/100))</f>
        <v>1.2402977949200046E-2</v>
      </c>
      <c r="R71" s="30">
        <f t="shared" si="3"/>
        <v>1.2402977949200045</v>
      </c>
      <c r="S71" s="30">
        <f>IF(A71=0,"",(((25.4/1000)*'Metric Data'!$AC$5*'Metric Data'!$AC$7)-E71)*($E$6/100))</f>
        <v>2.0897421735358662E-2</v>
      </c>
      <c r="T71" s="30">
        <f t="shared" si="4"/>
        <v>0.20897421735358662</v>
      </c>
      <c r="U71" s="30">
        <f t="shared" si="5"/>
        <v>2.388317905213762</v>
      </c>
      <c r="V71" s="30">
        <f t="shared" si="6"/>
        <v>1.0336389324655417</v>
      </c>
      <c r="W71" s="30">
        <f t="shared" si="7"/>
        <v>100.6096</v>
      </c>
    </row>
    <row r="72" spans="1:23" x14ac:dyDescent="0.2">
      <c r="A72" s="34">
        <f t="shared" si="13"/>
        <v>23</v>
      </c>
      <c r="B72" s="34">
        <v>59</v>
      </c>
      <c r="C72" s="34">
        <f t="shared" si="8"/>
        <v>584.19999999999993</v>
      </c>
      <c r="D72" s="30">
        <f>IF(A72=0,"",IF('Metric Data'!AG61&gt;=1, INDEX(Metric_Incremental[], MATCH('Metric Data'!AG61, Metric_Incremental[Height], 1), MATCH('Cumulative Volumes Metric'!$F$4, Metric_Incremental[#Headers], 0)), 0))</f>
        <v>0.11109868611071794</v>
      </c>
      <c r="E72" s="80">
        <f>IF(A72=0,"",IF('Metric Data'!AG61&gt;=1, INDEX(Metric_Incremental[], MATCH('Metric Data'!AG61, Metric_Incremental[Height], 1), MATCH('Cumulative Volumes Metric'!$F$4 &amp; "EC", Metric_Incremental[#Headers], 0)), 0))</f>
        <v>2.749946453348432E-2</v>
      </c>
      <c r="F72" s="30">
        <f t="shared" si="9"/>
        <v>11.109868611071793</v>
      </c>
      <c r="G72" s="30">
        <f t="shared" si="0"/>
        <v>0.27499464533484319</v>
      </c>
      <c r="H72" s="30">
        <f>IF(A72=0,"",IF('Cumulative Volumes Metric'!$AR$17=FALSE,J72,I72))</f>
        <v>1.4404546974373453</v>
      </c>
      <c r="I72" s="30">
        <f t="shared" si="10"/>
        <v>1.4404546974373453</v>
      </c>
      <c r="J72" s="30">
        <f t="shared" si="1"/>
        <v>1.420927226205345</v>
      </c>
      <c r="K72" s="30">
        <f>IF(A72=0,"",IF('Cumulative Volumes Metric'!$AR$17=FALSE,M72,L72))</f>
        <v>12.825317953843982</v>
      </c>
      <c r="L72" s="30">
        <f t="shared" si="11"/>
        <v>12.825317953843982</v>
      </c>
      <c r="M72" s="30">
        <f t="shared" si="2"/>
        <v>12.805790482611981</v>
      </c>
      <c r="N72" s="30">
        <f>IF(($E$8/25.4)+45+($E$9/25.4)&gt;989,"FALSE",IF(A72="","",IF('Cumulative Volumes Metric'!$AR$17=FALSE,P72,O72)))</f>
        <v>236.85403838085799</v>
      </c>
      <c r="O72" s="30">
        <f t="shared" si="12"/>
        <v>236.85403838085799</v>
      </c>
      <c r="P72" s="30">
        <f>IF(A72=0,"",IF('Cumulative Volumes Metric'!$AR$17=FALSE,(U72*$E$4)+(V72*$E$5),O72))</f>
        <v>236.85403838085799</v>
      </c>
      <c r="Q72" s="30">
        <f>IF(A72=0,"",(((25.4/1000)*'Metric Data'!$AC$4*'Metric Data'!$AC$5)-D72)*($E$6/100))</f>
        <v>1.2107935955712823E-2</v>
      </c>
      <c r="R72" s="30">
        <f t="shared" si="3"/>
        <v>1.2107935955712823</v>
      </c>
      <c r="S72" s="30">
        <f>IF(A72=0,"",(((25.4/1000)*'Metric Data'!$AC$5*'Metric Data'!$AC$7)-E72)*($E$6/100))</f>
        <v>2.1013363063406263E-2</v>
      </c>
      <c r="T72" s="30">
        <f t="shared" si="4"/>
        <v>0.21013363063406262</v>
      </c>
      <c r="U72" s="30">
        <f t="shared" si="5"/>
        <v>2.2655538461375619</v>
      </c>
      <c r="V72" s="30">
        <f t="shared" si="6"/>
        <v>0.98495219287657987</v>
      </c>
      <c r="W72" s="30">
        <f t="shared" si="7"/>
        <v>100.5842</v>
      </c>
    </row>
    <row r="73" spans="1:23" x14ac:dyDescent="0.2">
      <c r="A73" s="34">
        <f t="shared" si="13"/>
        <v>22</v>
      </c>
      <c r="B73" s="34">
        <v>60</v>
      </c>
      <c r="C73" s="34">
        <f t="shared" si="8"/>
        <v>558.79999999999995</v>
      </c>
      <c r="D73" s="30">
        <f>IF(A73=0,"",IF('Metric Data'!AG62&gt;=1, INDEX(Metric_Incremental[], MATCH('Metric Data'!AG62, Metric_Incremental[Height], 1), MATCH('Cumulative Volumes Metric'!$F$4, Metric_Incremental[#Headers], 0)), 0))</f>
        <v>0.11180166359903726</v>
      </c>
      <c r="E73" s="80">
        <f>IF(A73=0,"",IF('Metric Data'!AG62&gt;=1, INDEX(Metric_Incremental[], MATCH('Metric Data'!AG62, Metric_Incremental[Height], 1), MATCH('Cumulative Volumes Metric'!$F$4 &amp; "EC", Metric_Incremental[#Headers], 0)), 0))</f>
        <v>2.8408496389636172E-2</v>
      </c>
      <c r="F73" s="30">
        <f t="shared" si="9"/>
        <v>11.180166359903726</v>
      </c>
      <c r="G73" s="30">
        <f t="shared" si="0"/>
        <v>0.28408496389636173</v>
      </c>
      <c r="H73" s="30">
        <f>IF(A73=0,"",IF('Cumulative Volumes Metric'!$AR$17=FALSE,J73,I73))</f>
        <v>1.4086994704799645</v>
      </c>
      <c r="I73" s="30">
        <f t="shared" si="10"/>
        <v>1.4086994704799645</v>
      </c>
      <c r="J73" s="30">
        <f t="shared" si="1"/>
        <v>1.3891719992479645</v>
      </c>
      <c r="K73" s="30">
        <f>IF(A73=0,"",IF('Cumulative Volumes Metric'!$AR$17=FALSE,M73,L73))</f>
        <v>12.872950794280053</v>
      </c>
      <c r="L73" s="30">
        <f t="shared" si="11"/>
        <v>12.872950794280053</v>
      </c>
      <c r="M73" s="30">
        <f t="shared" si="2"/>
        <v>12.853423323048052</v>
      </c>
      <c r="N73" s="30">
        <f>IF(($E$8/25.4)+45+($E$9/25.4)&gt;989,"FALSE",IF(A73="","",IF('Cumulative Volumes Metric'!$AR$17=FALSE,P73,O73)))</f>
        <v>224.02872042701401</v>
      </c>
      <c r="O73" s="30">
        <f t="shared" si="12"/>
        <v>224.02872042701401</v>
      </c>
      <c r="P73" s="30">
        <f>IF(A73=0,"",IF('Cumulative Volumes Metric'!$AR$17=FALSE,(U73*$E$4)+(V73*$E$5),O73))</f>
        <v>224.02872042701401</v>
      </c>
      <c r="Q73" s="30">
        <f>IF(A73=0,"",(((25.4/1000)*'Metric Data'!$AC$4*'Metric Data'!$AC$5)-D73)*($E$6/100))</f>
        <v>1.1826744960385095E-2</v>
      </c>
      <c r="R73" s="30">
        <f t="shared" si="3"/>
        <v>1.1826744960385094</v>
      </c>
      <c r="S73" s="30">
        <f>IF(A73=0,"",(((25.4/1000)*'Metric Data'!$AC$5*'Metric Data'!$AC$7)-E73)*($E$6/100))</f>
        <v>2.0649750320945522E-2</v>
      </c>
      <c r="T73" s="30">
        <f t="shared" si="4"/>
        <v>0.2064975032094552</v>
      </c>
      <c r="U73" s="30">
        <f t="shared" si="5"/>
        <v>2.1423472240711314</v>
      </c>
      <c r="V73" s="30">
        <f t="shared" si="6"/>
        <v>0.9364393652796893</v>
      </c>
      <c r="W73" s="30">
        <f t="shared" si="7"/>
        <v>100.55880000000001</v>
      </c>
    </row>
    <row r="74" spans="1:23" x14ac:dyDescent="0.2">
      <c r="A74" s="34">
        <f t="shared" si="13"/>
        <v>21</v>
      </c>
      <c r="B74" s="34">
        <v>61</v>
      </c>
      <c r="C74" s="34">
        <f t="shared" si="8"/>
        <v>533.4</v>
      </c>
      <c r="D74" s="30">
        <f>IF(A74=0,"",IF('Metric Data'!AG63&gt;=1, INDEX(Metric_Incremental[], MATCH('Metric Data'!AG63, Metric_Incremental[Height], 1), MATCH('Cumulative Volumes Metric'!$F$4, Metric_Incremental[#Headers], 0)), 0))</f>
        <v>0.11247198046156016</v>
      </c>
      <c r="E74" s="80">
        <f>IF(A74=0,"",IF('Metric Data'!AG63&gt;=1, INDEX(Metric_Incremental[], MATCH('Metric Data'!AG63, Metric_Incremental[Height], 1), MATCH('Cumulative Volumes Metric'!$F$4 &amp; "EC", Metric_Incremental[#Headers], 0)), 0))</f>
        <v>2.8631585162112387E-2</v>
      </c>
      <c r="F74" s="30">
        <f t="shared" si="9"/>
        <v>11.247198046156017</v>
      </c>
      <c r="G74" s="30">
        <f t="shared" si="0"/>
        <v>0.28631585162112388</v>
      </c>
      <c r="H74" s="30">
        <f>IF(A74=0,"",IF('Cumulative Volumes Metric'!$AR$17=FALSE,J74,I74))</f>
        <v>1.3809944408891432</v>
      </c>
      <c r="I74" s="30">
        <f t="shared" si="10"/>
        <v>1.3809944408891432</v>
      </c>
      <c r="J74" s="30">
        <f t="shared" si="1"/>
        <v>1.3614669696571438</v>
      </c>
      <c r="K74" s="30">
        <f>IF(A74=0,"",IF('Cumulative Volumes Metric'!$AR$17=FALSE,M74,L74))</f>
        <v>12.914508338666284</v>
      </c>
      <c r="L74" s="30">
        <f t="shared" si="11"/>
        <v>12.914508338666284</v>
      </c>
      <c r="M74" s="30">
        <f t="shared" si="2"/>
        <v>12.894980867434285</v>
      </c>
      <c r="N74" s="30">
        <f>IF(($E$8/25.4)+45+($E$9/25.4)&gt;989,"FALSE",IF(A74="","",IF('Cumulative Volumes Metric'!$AR$17=FALSE,P74,O74)))</f>
        <v>211.15576963273395</v>
      </c>
      <c r="O74" s="30">
        <f t="shared" si="12"/>
        <v>211.15576963273395</v>
      </c>
      <c r="P74" s="30">
        <f>IF(A74=0,"",IF('Cumulative Volumes Metric'!$AR$17=FALSE,(U74*$E$4)+(V74*$E$5),O74))</f>
        <v>211.15576963273395</v>
      </c>
      <c r="Q74" s="30">
        <f>IF(A74=0,"",(((25.4/1000)*'Metric Data'!$AC$4*'Metric Data'!$AC$5)-D74)*($E$6/100))</f>
        <v>1.1558618215375932E-2</v>
      </c>
      <c r="R74" s="30">
        <f t="shared" si="3"/>
        <v>1.1558618215375933</v>
      </c>
      <c r="S74" s="30">
        <f>IF(A74=0,"",(((25.4/1000)*'Metric Data'!$AC$5*'Metric Data'!$AC$7)-E74)*($E$6/100))</f>
        <v>2.0560514811955036E-2</v>
      </c>
      <c r="T74" s="30">
        <f t="shared" si="4"/>
        <v>0.20560514811955036</v>
      </c>
      <c r="U74" s="30">
        <f t="shared" si="5"/>
        <v>2.0187188155117091</v>
      </c>
      <c r="V74" s="30">
        <f t="shared" si="6"/>
        <v>0.88738111856910762</v>
      </c>
      <c r="W74" s="30">
        <f t="shared" si="7"/>
        <v>100.5334</v>
      </c>
    </row>
    <row r="75" spans="1:23" x14ac:dyDescent="0.2">
      <c r="A75" s="34">
        <f t="shared" si="13"/>
        <v>20</v>
      </c>
      <c r="B75" s="34">
        <v>62</v>
      </c>
      <c r="C75" s="34">
        <f t="shared" si="8"/>
        <v>508</v>
      </c>
      <c r="D75" s="30">
        <f>IF(A75=0,"",IF('Metric Data'!AG64&gt;=1, INDEX(Metric_Incremental[], MATCH('Metric Data'!AG64, Metric_Incremental[Height], 1), MATCH('Cumulative Volumes Metric'!$F$4, Metric_Incremental[#Headers], 0)), 0))</f>
        <v>0.11311129123601876</v>
      </c>
      <c r="E75" s="80">
        <f>IF(A75=0,"",IF('Metric Data'!AG64&gt;=1, INDEX(Metric_Incremental[], MATCH('Metric Data'!AG64, Metric_Incremental[Height], 1), MATCH('Cumulative Volumes Metric'!$F$4 &amp; "EC", Metric_Incremental[#Headers], 0)), 0))</f>
        <v>2.889305847373641E-2</v>
      </c>
      <c r="F75" s="30">
        <f t="shared" si="9"/>
        <v>11.311129123601877</v>
      </c>
      <c r="G75" s="30">
        <f t="shared" si="0"/>
        <v>0.2889305847373641</v>
      </c>
      <c r="H75" s="30">
        <f>IF(A75=0,"",IF('Cumulative Volumes Metric'!$AR$17=FALSE,J75,I75))</f>
        <v>1.3543761166643031</v>
      </c>
      <c r="I75" s="30">
        <f t="shared" si="10"/>
        <v>1.3543761166643031</v>
      </c>
      <c r="J75" s="30">
        <f t="shared" si="1"/>
        <v>1.3348486454323036</v>
      </c>
      <c r="K75" s="30">
        <f>IF(A75=0,"",IF('Cumulative Volumes Metric'!$AR$17=FALSE,M75,L75))</f>
        <v>12.954435825003545</v>
      </c>
      <c r="L75" s="30">
        <f t="shared" si="11"/>
        <v>12.954435825003545</v>
      </c>
      <c r="M75" s="30">
        <f t="shared" si="2"/>
        <v>12.934908353771545</v>
      </c>
      <c r="N75" s="30">
        <f>IF(($E$8/25.4)+45+($E$9/25.4)&gt;989,"FALSE",IF(A75="","",IF('Cumulative Volumes Metric'!$AR$17=FALSE,P75,O75)))</f>
        <v>198.24126129406767</v>
      </c>
      <c r="O75" s="30">
        <f t="shared" si="12"/>
        <v>198.24126129406767</v>
      </c>
      <c r="P75" s="30">
        <f>IF(A75=0,"",IF('Cumulative Volumes Metric'!$AR$17=FALSE,(U75*$E$4)+(V75*$E$5),O75))</f>
        <v>198.24126129406767</v>
      </c>
      <c r="Q75" s="30">
        <f>IF(A75=0,"",(((25.4/1000)*'Metric Data'!$AC$4*'Metric Data'!$AC$5)-D75)*($E$6/100))</f>
        <v>1.1302893905592493E-2</v>
      </c>
      <c r="R75" s="30">
        <f t="shared" si="3"/>
        <v>1.1302893905592493</v>
      </c>
      <c r="S75" s="30">
        <f>IF(A75=0,"",(((25.4/1000)*'Metric Data'!$AC$5*'Metric Data'!$AC$7)-E75)*($E$6/100))</f>
        <v>2.0455925487305428E-2</v>
      </c>
      <c r="T75" s="30">
        <f t="shared" si="4"/>
        <v>0.20455925487305429</v>
      </c>
      <c r="U75" s="30">
        <f t="shared" si="5"/>
        <v>1.894688216834773</v>
      </c>
      <c r="V75" s="30">
        <f t="shared" si="6"/>
        <v>0.83818901859504014</v>
      </c>
      <c r="W75" s="30">
        <f t="shared" si="7"/>
        <v>100.508</v>
      </c>
    </row>
    <row r="76" spans="1:23" x14ac:dyDescent="0.2">
      <c r="A76" s="34">
        <f t="shared" si="13"/>
        <v>19</v>
      </c>
      <c r="B76" s="34">
        <v>63</v>
      </c>
      <c r="C76" s="34">
        <f t="shared" si="8"/>
        <v>482.59999999999997</v>
      </c>
      <c r="D76" s="30">
        <f>IF(A76=0,"",IF('Metric Data'!AG65&gt;=1, INDEX(Metric_Incremental[], MATCH('Metric Data'!AG65, Metric_Incremental[Height], 1), MATCH('Cumulative Volumes Metric'!$F$4, Metric_Incremental[#Headers], 0)), 0))</f>
        <v>0.11371738807871999</v>
      </c>
      <c r="E76" s="80">
        <f>IF(A76=0,"",IF('Metric Data'!AG65&gt;=1, INDEX(Metric_Incremental[], MATCH('Metric Data'!AG65, Metric_Incremental[Height], 1), MATCH('Cumulative Volumes Metric'!$F$4 &amp; "EC", Metric_Incremental[#Headers], 0)), 0))</f>
        <v>2.9175378451083075E-2</v>
      </c>
      <c r="F76" s="30">
        <f t="shared" si="9"/>
        <v>11.371738807871999</v>
      </c>
      <c r="G76" s="30">
        <f t="shared" si="0"/>
        <v>0.29175378451083078</v>
      </c>
      <c r="H76" s="30">
        <f>IF(A76=0,"",IF('Cumulative Volumes Metric'!$AR$17=FALSE,J76,I76))</f>
        <v>1.3290029630468674</v>
      </c>
      <c r="I76" s="30">
        <f t="shared" si="10"/>
        <v>1.3290029630468674</v>
      </c>
      <c r="J76" s="30">
        <f t="shared" si="1"/>
        <v>1.3094754918148679</v>
      </c>
      <c r="K76" s="30">
        <f>IF(A76=0,"",IF('Cumulative Volumes Metric'!$AR$17=FALSE,M76,L76))</f>
        <v>12.992495555429699</v>
      </c>
      <c r="L76" s="30">
        <f t="shared" si="11"/>
        <v>12.992495555429699</v>
      </c>
      <c r="M76" s="30">
        <f t="shared" si="2"/>
        <v>12.972968084197699</v>
      </c>
      <c r="N76" s="30">
        <f>IF(($E$8/25.4)+45+($E$9/25.4)&gt;989,"FALSE",IF(A76="","",IF('Cumulative Volumes Metric'!$AR$17=FALSE,P76,O76)))</f>
        <v>185.28682546906413</v>
      </c>
      <c r="O76" s="30">
        <f t="shared" si="12"/>
        <v>185.28682546906413</v>
      </c>
      <c r="P76" s="30">
        <f>IF(A76=0,"",IF('Cumulative Volumes Metric'!$AR$17=FALSE,(U76*$E$4)+(V76*$E$5),O76))</f>
        <v>185.28682546906413</v>
      </c>
      <c r="Q76" s="30">
        <f>IF(A76=0,"",(((25.4/1000)*'Metric Data'!$AC$4*'Metric Data'!$AC$5)-D76)*($E$6/100))</f>
        <v>1.1060455168512002E-2</v>
      </c>
      <c r="R76" s="30">
        <f t="shared" si="3"/>
        <v>1.1060455168512002</v>
      </c>
      <c r="S76" s="30">
        <f>IF(A76=0,"",(((25.4/1000)*'Metric Data'!$AC$5*'Metric Data'!$AC$7)-E76)*($E$6/100))</f>
        <v>2.0342997496366762E-2</v>
      </c>
      <c r="T76" s="30">
        <f t="shared" si="4"/>
        <v>0.2034299749636676</v>
      </c>
      <c r="U76" s="30">
        <f t="shared" si="5"/>
        <v>1.7702740316931616</v>
      </c>
      <c r="V76" s="30">
        <f t="shared" si="6"/>
        <v>0.78884003463399821</v>
      </c>
      <c r="W76" s="30">
        <f t="shared" si="7"/>
        <v>100.48260000000001</v>
      </c>
    </row>
    <row r="77" spans="1:23" x14ac:dyDescent="0.2">
      <c r="A77" s="34">
        <f t="shared" si="13"/>
        <v>18</v>
      </c>
      <c r="B77" s="34">
        <v>64</v>
      </c>
      <c r="C77" s="34">
        <f t="shared" si="8"/>
        <v>457.2</v>
      </c>
      <c r="D77" s="30">
        <f>IF(A77=0,"",IF('Metric Data'!AG66&gt;=1, INDEX(Metric_Incremental[], MATCH('Metric Data'!AG66, Metric_Incremental[Height], 1), MATCH('Cumulative Volumes Metric'!$F$4, Metric_Incremental[#Headers], 0)), 0))</f>
        <v>0.11429154806739351</v>
      </c>
      <c r="E77" s="80">
        <f>IF(A77=0,"",IF('Metric Data'!AG66&gt;=1, INDEX(Metric_Incremental[], MATCH('Metric Data'!AG66, Metric_Incremental[Height], 1), MATCH('Cumulative Volumes Metric'!$F$4 &amp; "EC", Metric_Incremental[#Headers], 0)), 0))</f>
        <v>2.9412688659209974E-2</v>
      </c>
      <c r="F77" s="30">
        <f t="shared" si="9"/>
        <v>11.429154806739351</v>
      </c>
      <c r="G77" s="30">
        <f t="shared" si="0"/>
        <v>0.29412688659209973</v>
      </c>
      <c r="H77" s="30">
        <f>IF(A77=0,"",IF('Cumulative Volumes Metric'!$AR$17=FALSE,J77,I77))</f>
        <v>1.3050873226674193</v>
      </c>
      <c r="I77" s="30">
        <f t="shared" si="10"/>
        <v>1.3050873226674193</v>
      </c>
      <c r="J77" s="30">
        <f t="shared" si="1"/>
        <v>1.2855598514354194</v>
      </c>
      <c r="K77" s="30">
        <f>IF(A77=0,"",IF('Cumulative Volumes Metric'!$AR$17=FALSE,M77,L77))</f>
        <v>13.028369015998869</v>
      </c>
      <c r="L77" s="30">
        <f t="shared" si="11"/>
        <v>13.028369015998869</v>
      </c>
      <c r="M77" s="30">
        <f t="shared" si="2"/>
        <v>13.00884154476687</v>
      </c>
      <c r="N77" s="30">
        <f>IF(($E$8/25.4)+45+($E$9/25.4)&gt;989,"FALSE",IF(A77="","",IF('Cumulative Volumes Metric'!$AR$17=FALSE,P77,O77)))</f>
        <v>172.29432991363441</v>
      </c>
      <c r="O77" s="30">
        <f t="shared" si="12"/>
        <v>172.29432991363441</v>
      </c>
      <c r="P77" s="30">
        <f>IF(A77=0,"",IF('Cumulative Volumes Metric'!$AR$17=FALSE,(U77*$E$4)+(V77*$E$5),O77))</f>
        <v>172.29432991363441</v>
      </c>
      <c r="Q77" s="30">
        <f>IF(A77=0,"",(((25.4/1000)*'Metric Data'!$AC$4*'Metric Data'!$AC$5)-D77)*($E$6/100))</f>
        <v>1.0830791173042593E-2</v>
      </c>
      <c r="R77" s="30">
        <f t="shared" si="3"/>
        <v>1.0830791173042593</v>
      </c>
      <c r="S77" s="30">
        <f>IF(A77=0,"",(((25.4/1000)*'Metric Data'!$AC$5*'Metric Data'!$AC$7)-E77)*($E$6/100))</f>
        <v>2.0248073413116005E-2</v>
      </c>
      <c r="T77" s="30">
        <f t="shared" si="4"/>
        <v>0.20248073413116005</v>
      </c>
      <c r="U77" s="30">
        <f t="shared" si="5"/>
        <v>1.6454961884459296</v>
      </c>
      <c r="V77" s="30">
        <f t="shared" si="6"/>
        <v>0.73932165868654831</v>
      </c>
      <c r="W77" s="30">
        <f t="shared" si="7"/>
        <v>100.4572</v>
      </c>
    </row>
    <row r="78" spans="1:23" x14ac:dyDescent="0.2">
      <c r="A78" s="34">
        <f t="shared" si="13"/>
        <v>17</v>
      </c>
      <c r="B78" s="34">
        <v>65</v>
      </c>
      <c r="C78" s="34">
        <f t="shared" si="8"/>
        <v>431.79999999999995</v>
      </c>
      <c r="D78" s="30">
        <f>IF(A78=0,"",IF('Metric Data'!AG67&gt;=1, INDEX(Metric_Incremental[], MATCH('Metric Data'!AG67, Metric_Incremental[Height], 1), MATCH('Cumulative Volumes Metric'!$F$4, Metric_Incremental[#Headers], 0)), 0))</f>
        <v>0.11483580857992352</v>
      </c>
      <c r="E78" s="80">
        <f>IF(A78=0,"",IF('Metric Data'!AG67&gt;=1, INDEX(Metric_Incremental[], MATCH('Metric Data'!AG67, Metric_Incremental[Height], 1), MATCH('Cumulative Volumes Metric'!$F$4 &amp; "EC", Metric_Incremental[#Headers], 0)), 0))</f>
        <v>2.962952569729577E-2</v>
      </c>
      <c r="F78" s="30">
        <f t="shared" si="9"/>
        <v>11.483580857992353</v>
      </c>
      <c r="G78" s="30">
        <f t="shared" ref="G78:G94" si="14">IF(A78=0,"",$E$5*E78)</f>
        <v>0.29629525697295772</v>
      </c>
      <c r="H78" s="30">
        <f>IF(A78=0,"",IF('Cumulative Volumes Metric'!$AR$17=FALSE,J78,I78))</f>
        <v>1.2824495540138756</v>
      </c>
      <c r="I78" s="30">
        <f t="shared" ref="I78:I94" si="15">IF(A78=0,"",($E$6/100)*($E$10*(25.4/1000)-(F78+G78)))</f>
        <v>1.2824495540138756</v>
      </c>
      <c r="J78" s="30">
        <f t="shared" ref="J78:J94" si="16">IF(A78=0,"",R78+T78)</f>
        <v>1.2629220827818759</v>
      </c>
      <c r="K78" s="30">
        <f>IF(A78=0,"",IF('Cumulative Volumes Metric'!$AR$17=FALSE,M78,L78))</f>
        <v>13.062325668979186</v>
      </c>
      <c r="L78" s="30">
        <f t="shared" ref="L78:L94" si="17">IF(A78=0,"",I78+F78+G78)</f>
        <v>13.062325668979186</v>
      </c>
      <c r="M78" s="30">
        <f t="shared" ref="M78:M94" si="18">IF(A78=0,"",F78+G78+J78)</f>
        <v>13.042798197747185</v>
      </c>
      <c r="N78" s="30">
        <f>IF(($E$8/25.4)+45+($E$9/25.4)&gt;989,"FALSE",IF(A78="","",IF('Cumulative Volumes Metric'!$AR$17=FALSE,P78,O78)))</f>
        <v>159.26596089763555</v>
      </c>
      <c r="O78" s="30">
        <f t="shared" ref="O78:O94" si="19">IF(A78=0,"",IF(A78=1,L78,O79+L78))</f>
        <v>159.26596089763555</v>
      </c>
      <c r="P78" s="30">
        <f>IF(A78=0,"",IF('Cumulative Volumes Metric'!$AR$17=FALSE,(U78*$E$4)+(V78*$E$5),O78))</f>
        <v>159.26596089763555</v>
      </c>
      <c r="Q78" s="30">
        <f>IF(A78=0,"",(((25.4/1000)*'Metric Data'!$AC$4*'Metric Data'!$AC$5)-D78)*($E$6/100))</f>
        <v>1.0613086968030589E-2</v>
      </c>
      <c r="R78" s="30">
        <f t="shared" ref="R78:R94" si="20">IF(A78=0,"",Q78*$E$4)</f>
        <v>1.0613086968030589</v>
      </c>
      <c r="S78" s="30">
        <f>IF(A78=0,"",(((25.4/1000)*'Metric Data'!$AC$5*'Metric Data'!$AC$7)-E78)*($E$6/100))</f>
        <v>2.0161338597881686E-2</v>
      </c>
      <c r="T78" s="30">
        <f t="shared" ref="T78:T94" si="21">IF(A78=0,"",S78*$E$5)</f>
        <v>0.20161338597881687</v>
      </c>
      <c r="U78" s="30">
        <f t="shared" ref="U78:U94" si="22">IF(A78=0,"",IF(A78=1,D78+Q78,U79+D78+Q78))</f>
        <v>1.5203738492054935</v>
      </c>
      <c r="V78" s="30">
        <f t="shared" ref="V78:V94" si="23">IF(A78=0,"",IF(A78=1,E78+S78,V79+E78+S78))</f>
        <v>0.68966089661422236</v>
      </c>
      <c r="W78" s="30">
        <f t="shared" ref="W78:W94" si="24">IF(A78=0,"",$E$7+C78/1000)</f>
        <v>100.4318</v>
      </c>
    </row>
    <row r="79" spans="1:23" x14ac:dyDescent="0.2">
      <c r="A79" s="34">
        <f t="shared" ref="A79:A142" si="25">IF(A78=0,0,IF(A78=" ","",IF(A78-1&gt;0,A78-1,0)))</f>
        <v>16</v>
      </c>
      <c r="B79" s="34">
        <v>66</v>
      </c>
      <c r="C79" s="34">
        <f t="shared" ref="C79:C94" si="26">A79*25.4</f>
        <v>406.4</v>
      </c>
      <c r="D79" s="30">
        <f>IF(A79=0,"",IF('Metric Data'!AG68&gt;=1, INDEX(Metric_Incremental[], MATCH('Metric Data'!AG68, Metric_Incremental[Height], 1), MATCH('Cumulative Volumes Metric'!$F$4, Metric_Incremental[#Headers], 0)), 0))</f>
        <v>0.11534905054509419</v>
      </c>
      <c r="E79" s="80">
        <f>IF(A79=0,"",IF('Metric Data'!AG68&gt;=1, INDEX(Metric_Incremental[], MATCH('Metric Data'!AG68, Metric_Incremental[Height], 1), MATCH('Cumulative Volumes Metric'!$F$4 &amp; "EC", Metric_Incremental[#Headers], 0)), 0))</f>
        <v>2.9846367266034263E-2</v>
      </c>
      <c r="F79" s="30">
        <f t="shared" ref="F79:F94" si="27">IF(A79=0,"",$E$4*D79)</f>
        <v>11.534905054509419</v>
      </c>
      <c r="G79" s="30">
        <f t="shared" si="14"/>
        <v>0.29846367266034263</v>
      </c>
      <c r="H79" s="30">
        <f>IF(A79=0,"",IF('Cumulative Volumes Metric'!$AR$17=FALSE,J79,I79))</f>
        <v>1.2610525091320945</v>
      </c>
      <c r="I79" s="30">
        <f t="shared" si="15"/>
        <v>1.2610525091320945</v>
      </c>
      <c r="J79" s="30">
        <f t="shared" si="16"/>
        <v>1.2415250379000953</v>
      </c>
      <c r="K79" s="30">
        <f>IF(A79=0,"",IF('Cumulative Volumes Metric'!$AR$17=FALSE,M79,L79))</f>
        <v>13.094421236301857</v>
      </c>
      <c r="L79" s="30">
        <f t="shared" si="17"/>
        <v>13.094421236301857</v>
      </c>
      <c r="M79" s="30">
        <f t="shared" si="18"/>
        <v>13.074893765069858</v>
      </c>
      <c r="N79" s="30">
        <f>IF(($E$8/25.4)+45+($E$9/25.4)&gt;989,"FALSE",IF(A79="","",IF('Cumulative Volumes Metric'!$AR$17=FALSE,P79,O79)))</f>
        <v>146.20363522865637</v>
      </c>
      <c r="O79" s="30">
        <f t="shared" si="19"/>
        <v>146.20363522865637</v>
      </c>
      <c r="P79" s="30">
        <f>IF(A79=0,"",IF('Cumulative Volumes Metric'!$AR$17=FALSE,(U79*$E$4)+(V79*$E$5),O79))</f>
        <v>146.20363522865637</v>
      </c>
      <c r="Q79" s="30">
        <f>IF(A79=0,"",(((25.4/1000)*'Metric Data'!$AC$4*'Metric Data'!$AC$5)-D79)*($E$6/100))</f>
        <v>1.0407790181962324E-2</v>
      </c>
      <c r="R79" s="30">
        <f t="shared" si="20"/>
        <v>1.0407790181962324</v>
      </c>
      <c r="S79" s="30">
        <f>IF(A79=0,"",(((25.4/1000)*'Metric Data'!$AC$5*'Metric Data'!$AC$7)-E79)*($E$6/100))</f>
        <v>2.0074601970386286E-2</v>
      </c>
      <c r="T79" s="30">
        <f t="shared" si="21"/>
        <v>0.20074601970386285</v>
      </c>
      <c r="U79" s="30">
        <f t="shared" si="22"/>
        <v>1.3949249536575394</v>
      </c>
      <c r="V79" s="30">
        <f t="shared" si="23"/>
        <v>0.63987003231904482</v>
      </c>
      <c r="W79" s="30">
        <f t="shared" si="24"/>
        <v>100.4064</v>
      </c>
    </row>
    <row r="80" spans="1:23" x14ac:dyDescent="0.2">
      <c r="A80" s="34">
        <f t="shared" si="25"/>
        <v>15</v>
      </c>
      <c r="B80" s="34">
        <v>67</v>
      </c>
      <c r="C80" s="34">
        <f t="shared" si="26"/>
        <v>381</v>
      </c>
      <c r="D80" s="30">
        <f>IF(A80=0,"",IF('Metric Data'!AG69&gt;=1, INDEX(Metric_Incremental[], MATCH('Metric Data'!AG69, Metric_Incremental[Height], 1), MATCH('Cumulative Volumes Metric'!$F$4, Metric_Incremental[#Headers], 0)), 0))</f>
        <v>0.11582914625513242</v>
      </c>
      <c r="E80" s="80">
        <f>IF(A80=0,"",IF('Metric Data'!AG69&gt;=1, INDEX(Metric_Incremental[], MATCH('Metric Data'!AG69, Metric_Incremental[Height], 1), MATCH('Cumulative Volumes Metric'!$F$4 &amp; "EC", Metric_Incremental[#Headers], 0)), 0))</f>
        <v>2.9745055642078456E-2</v>
      </c>
      <c r="F80" s="30">
        <f t="shared" si="27"/>
        <v>11.582914625513242</v>
      </c>
      <c r="G80" s="30">
        <f t="shared" si="14"/>
        <v>0.29745055642078455</v>
      </c>
      <c r="H80" s="30">
        <f>IF(A80=0,"",IF('Cumulative Volumes Metric'!$AR$17=FALSE,J80,I80))</f>
        <v>1.2422539272263891</v>
      </c>
      <c r="I80" s="30">
        <f t="shared" si="15"/>
        <v>1.2422539272263891</v>
      </c>
      <c r="J80" s="30">
        <f t="shared" si="16"/>
        <v>1.2227264559943891</v>
      </c>
      <c r="K80" s="30">
        <f>IF(A80=0,"",IF('Cumulative Volumes Metric'!$AR$17=FALSE,M80,L80))</f>
        <v>13.122619109160416</v>
      </c>
      <c r="L80" s="30">
        <f t="shared" si="17"/>
        <v>13.122619109160416</v>
      </c>
      <c r="M80" s="30">
        <f t="shared" si="18"/>
        <v>13.103091637928415</v>
      </c>
      <c r="N80" s="30">
        <f>IF(($E$8/25.4)+45+($E$9/25.4)&gt;989,"FALSE",IF(A80="","",IF('Cumulative Volumes Metric'!$AR$17=FALSE,P80,O80)))</f>
        <v>133.10921399235451</v>
      </c>
      <c r="O80" s="30">
        <f t="shared" si="19"/>
        <v>133.10921399235451</v>
      </c>
      <c r="P80" s="30">
        <f>IF(A80=0,"",IF('Cumulative Volumes Metric'!$AR$17=FALSE,(U80*$E$4)+(V80*$E$5),O80))</f>
        <v>133.10921399235451</v>
      </c>
      <c r="Q80" s="30">
        <f>IF(A80=0,"",(((25.4/1000)*'Metric Data'!$AC$4*'Metric Data'!$AC$5)-D80)*($E$6/100))</f>
        <v>1.021575189794703E-2</v>
      </c>
      <c r="R80" s="30">
        <f t="shared" si="20"/>
        <v>1.021575189794703</v>
      </c>
      <c r="S80" s="30">
        <f>IF(A80=0,"",(((25.4/1000)*'Metric Data'!$AC$5*'Metric Data'!$AC$7)-E80)*($E$6/100))</f>
        <v>2.0115126619968612E-2</v>
      </c>
      <c r="T80" s="30">
        <f t="shared" si="21"/>
        <v>0.20115126619968612</v>
      </c>
      <c r="U80" s="30">
        <f t="shared" si="22"/>
        <v>1.2691681129304828</v>
      </c>
      <c r="V80" s="30">
        <f t="shared" si="23"/>
        <v>0.58994906308262429</v>
      </c>
      <c r="W80" s="30">
        <f t="shared" si="24"/>
        <v>100.381</v>
      </c>
    </row>
    <row r="81" spans="1:23" x14ac:dyDescent="0.2">
      <c r="A81" s="34">
        <f t="shared" si="25"/>
        <v>14</v>
      </c>
      <c r="B81" s="34">
        <v>68</v>
      </c>
      <c r="C81" s="34">
        <f t="shared" si="26"/>
        <v>355.59999999999997</v>
      </c>
      <c r="D81" s="30">
        <f>IF(A81=0,"",IF('Metric Data'!AG70&gt;=1, INDEX(Metric_Incremental[], MATCH('Metric Data'!AG70, Metric_Incremental[Height], 1), MATCH('Cumulative Volumes Metric'!$F$4, Metric_Incremental[#Headers], 0)), 0))</f>
        <v>0.11628752003397989</v>
      </c>
      <c r="E81" s="80">
        <f>IF(A81=0,"",IF('Metric Data'!AG70&gt;=1, INDEX(Metric_Incremental[], MATCH('Metric Data'!AG70, Metric_Incremental[Height], 1), MATCH('Cumulative Volumes Metric'!$F$4 &amp; "EC", Metric_Incremental[#Headers], 0)), 0))</f>
        <v>2.9920840436075315E-2</v>
      </c>
      <c r="F81" s="30">
        <f t="shared" si="27"/>
        <v>11.62875200339799</v>
      </c>
      <c r="G81" s="30">
        <f t="shared" si="14"/>
        <v>0.29920840436075313</v>
      </c>
      <c r="H81" s="30">
        <f>IF(A81=0,"",IF('Cumulative Volumes Metric'!$AR$17=FALSE,J81,I81))</f>
        <v>1.2232158368965025</v>
      </c>
      <c r="I81" s="30">
        <f t="shared" si="15"/>
        <v>1.2232158368965025</v>
      </c>
      <c r="J81" s="30">
        <f t="shared" si="16"/>
        <v>1.2036883656645025</v>
      </c>
      <c r="K81" s="30">
        <f>IF(A81=0,"",IF('Cumulative Volumes Metric'!$AR$17=FALSE,M81,L81))</f>
        <v>13.151176244655245</v>
      </c>
      <c r="L81" s="30">
        <f t="shared" si="17"/>
        <v>13.151176244655245</v>
      </c>
      <c r="M81" s="30">
        <f t="shared" si="18"/>
        <v>13.131648773423246</v>
      </c>
      <c r="N81" s="30">
        <f>IF(($E$8/25.4)+45+($E$9/25.4)&gt;989,"FALSE",IF(A81="","",IF('Cumulative Volumes Metric'!$AR$17=FALSE,P81,O81)))</f>
        <v>119.9865948831941</v>
      </c>
      <c r="O81" s="30">
        <f t="shared" si="19"/>
        <v>119.9865948831941</v>
      </c>
      <c r="P81" s="30">
        <f>IF(A81=0,"",IF('Cumulative Volumes Metric'!$AR$17=FALSE,(U81*$E$4)+(V81*$E$5),O81))</f>
        <v>119.9865948831941</v>
      </c>
      <c r="Q81" s="30">
        <f>IF(A81=0,"",(((25.4/1000)*'Metric Data'!$AC$4*'Metric Data'!$AC$5)-D81)*($E$6/100))</f>
        <v>1.003240238640804E-2</v>
      </c>
      <c r="R81" s="30">
        <f t="shared" si="20"/>
        <v>1.0032402386408039</v>
      </c>
      <c r="S81" s="30">
        <f>IF(A81=0,"",(((25.4/1000)*'Metric Data'!$AC$5*'Metric Data'!$AC$7)-E81)*($E$6/100))</f>
        <v>2.0044812702369866E-2</v>
      </c>
      <c r="T81" s="30">
        <f t="shared" si="21"/>
        <v>0.20044812702369866</v>
      </c>
      <c r="U81" s="30">
        <f t="shared" si="22"/>
        <v>1.1431232147774033</v>
      </c>
      <c r="V81" s="30">
        <f t="shared" si="23"/>
        <v>0.54008888082057727</v>
      </c>
      <c r="W81" s="30">
        <f t="shared" si="24"/>
        <v>100.3556</v>
      </c>
    </row>
    <row r="82" spans="1:23" x14ac:dyDescent="0.2">
      <c r="A82" s="34">
        <f t="shared" si="25"/>
        <v>13</v>
      </c>
      <c r="B82" s="34">
        <v>69</v>
      </c>
      <c r="C82" s="34">
        <f t="shared" si="26"/>
        <v>330.2</v>
      </c>
      <c r="D82" s="30">
        <f>IF(A82=0,"",IF('Metric Data'!AG71&gt;=1, INDEX(Metric_Incremental[], MATCH('Metric Data'!AG71, Metric_Incremental[Height], 1), MATCH('Cumulative Volumes Metric'!$F$4, Metric_Incremental[#Headers], 0)), 0))</f>
        <v>0.11672375477842277</v>
      </c>
      <c r="E82" s="80">
        <f>IF(A82=0,"",IF('Metric Data'!AG71&gt;=1, INDEX(Metric_Incremental[], MATCH('Metric Data'!AG71, Metric_Incremental[Height], 1), MATCH('Cumulative Volumes Metric'!$F$4 &amp; "EC", Metric_Incremental[#Headers], 0)), 0))</f>
        <v>3.0453342489027327E-2</v>
      </c>
      <c r="F82" s="30">
        <f t="shared" si="27"/>
        <v>11.672375477842277</v>
      </c>
      <c r="G82" s="30">
        <f t="shared" si="14"/>
        <v>0.30453342489027324</v>
      </c>
      <c r="H82" s="30">
        <f>IF(A82=0,"",IF('Cumulative Volumes Metric'!$AR$17=FALSE,J82,I82))</f>
        <v>1.2036364389069796</v>
      </c>
      <c r="I82" s="30">
        <f t="shared" si="15"/>
        <v>1.2036364389069796</v>
      </c>
      <c r="J82" s="30">
        <f t="shared" si="16"/>
        <v>1.1841089676749796</v>
      </c>
      <c r="K82" s="30">
        <f>IF(A82=0,"",IF('Cumulative Volumes Metric'!$AR$17=FALSE,M82,L82))</f>
        <v>13.18054534163953</v>
      </c>
      <c r="L82" s="30">
        <f t="shared" si="17"/>
        <v>13.18054534163953</v>
      </c>
      <c r="M82" s="30">
        <f t="shared" si="18"/>
        <v>13.16101787040753</v>
      </c>
      <c r="N82" s="30">
        <f>IF(($E$8/25.4)+45+($E$9/25.4)&gt;989,"FALSE",IF(A82="","",IF('Cumulative Volumes Metric'!$AR$17=FALSE,P82,O82)))</f>
        <v>106.83541863853885</v>
      </c>
      <c r="O82" s="30">
        <f t="shared" si="19"/>
        <v>106.83541863853885</v>
      </c>
      <c r="P82" s="30">
        <f>IF(A82=0,"",IF('Cumulative Volumes Metric'!$AR$17=FALSE,(U82*$E$4)+(V82*$E$5),O82))</f>
        <v>106.83541863853885</v>
      </c>
      <c r="Q82" s="30">
        <f>IF(A82=0,"",(((25.4/1000)*'Metric Data'!$AC$4*'Metric Data'!$AC$5)-D82)*($E$6/100))</f>
        <v>9.8579084886308913E-3</v>
      </c>
      <c r="R82" s="30">
        <f t="shared" si="20"/>
        <v>0.9857908488630891</v>
      </c>
      <c r="S82" s="30">
        <f>IF(A82=0,"",(((25.4/1000)*'Metric Data'!$AC$5*'Metric Data'!$AC$7)-E82)*($E$6/100))</f>
        <v>1.983181188118906E-2</v>
      </c>
      <c r="T82" s="30">
        <f t="shared" si="21"/>
        <v>0.1983181188118906</v>
      </c>
      <c r="U82" s="30">
        <f t="shared" si="22"/>
        <v>1.0168032923570154</v>
      </c>
      <c r="V82" s="30">
        <f t="shared" si="23"/>
        <v>0.49012322768213207</v>
      </c>
      <c r="W82" s="30">
        <f t="shared" si="24"/>
        <v>100.3302</v>
      </c>
    </row>
    <row r="83" spans="1:23" x14ac:dyDescent="0.2">
      <c r="A83" s="34">
        <f t="shared" si="25"/>
        <v>12</v>
      </c>
      <c r="B83" s="34">
        <v>70</v>
      </c>
      <c r="C83" s="34">
        <f t="shared" si="26"/>
        <v>304.79999999999995</v>
      </c>
      <c r="D83" s="30">
        <f>IF(A83=0,"",IF('Metric Data'!AG72&gt;=1, INDEX(Metric_Incremental[], MATCH('Metric Data'!AG72, Metric_Incremental[Height], 1), MATCH('Cumulative Volumes Metric'!$F$4, Metric_Incremental[#Headers], 0)), 0))</f>
        <v>0.11713257907404785</v>
      </c>
      <c r="E83" s="80">
        <f>IF(A83=0,"",IF('Metric Data'!AG72&gt;=1, INDEX(Metric_Incremental[], MATCH('Metric Data'!AG72, Metric_Incremental[Height], 1), MATCH('Cumulative Volumes Metric'!$F$4 &amp; "EC", Metric_Incremental[#Headers], 0)), 0))</f>
        <v>3.0660425031856155E-2</v>
      </c>
      <c r="F83" s="30">
        <f t="shared" si="27"/>
        <v>11.713257907404785</v>
      </c>
      <c r="G83" s="30">
        <f t="shared" si="14"/>
        <v>0.30660425031856153</v>
      </c>
      <c r="H83" s="30">
        <f>IF(A83=0,"",IF('Cumulative Volumes Metric'!$AR$17=FALSE,J83,I83))</f>
        <v>1.1864551369106615</v>
      </c>
      <c r="I83" s="30">
        <f t="shared" si="15"/>
        <v>1.1864551369106615</v>
      </c>
      <c r="J83" s="30">
        <f t="shared" si="16"/>
        <v>1.1669276656786611</v>
      </c>
      <c r="K83" s="30">
        <f>IF(A83=0,"",IF('Cumulative Volumes Metric'!$AR$17=FALSE,M83,L83))</f>
        <v>13.206317294634008</v>
      </c>
      <c r="L83" s="30">
        <f t="shared" si="17"/>
        <v>13.206317294634008</v>
      </c>
      <c r="M83" s="30">
        <f t="shared" si="18"/>
        <v>13.186789823402007</v>
      </c>
      <c r="N83" s="30">
        <f>IF(($E$8/25.4)+45+($E$9/25.4)&gt;989,"FALSE",IF(A83="","",IF('Cumulative Volumes Metric'!$AR$17=FALSE,P83,O83)))</f>
        <v>93.654873296899325</v>
      </c>
      <c r="O83" s="30">
        <f t="shared" si="19"/>
        <v>93.654873296899325</v>
      </c>
      <c r="P83" s="30">
        <f>IF(A83=0,"",IF('Cumulative Volumes Metric'!$AR$17=FALSE,(U83*$E$4)+(V83*$E$5),O83))</f>
        <v>93.654873296899325</v>
      </c>
      <c r="Q83" s="30">
        <f>IF(A83=0,"",(((25.4/1000)*'Metric Data'!$AC$4*'Metric Data'!$AC$5)-D83)*($E$6/100))</f>
        <v>9.6943787703808581E-3</v>
      </c>
      <c r="R83" s="30">
        <f t="shared" si="20"/>
        <v>0.96943787703808582</v>
      </c>
      <c r="S83" s="30">
        <f>IF(A83=0,"",(((25.4/1000)*'Metric Data'!$AC$5*'Metric Data'!$AC$7)-E83)*($E$6/100))</f>
        <v>1.9748978864057531E-2</v>
      </c>
      <c r="T83" s="30">
        <f t="shared" si="21"/>
        <v>0.19748978864057531</v>
      </c>
      <c r="U83" s="30">
        <f t="shared" si="22"/>
        <v>0.89022162908996172</v>
      </c>
      <c r="V83" s="30">
        <f t="shared" si="23"/>
        <v>0.43983807331191571</v>
      </c>
      <c r="W83" s="30">
        <f t="shared" si="24"/>
        <v>100.3048</v>
      </c>
    </row>
    <row r="84" spans="1:23" x14ac:dyDescent="0.2">
      <c r="A84" s="34">
        <f t="shared" si="25"/>
        <v>11</v>
      </c>
      <c r="B84" s="34">
        <v>71</v>
      </c>
      <c r="C84" s="34">
        <f t="shared" si="26"/>
        <v>279.39999999999998</v>
      </c>
      <c r="D84" s="30">
        <f>IF(A84=0,"",IF('Metric Data'!AG73&gt;=1, INDEX(Metric_Incremental[], MATCH('Metric Data'!AG73, Metric_Incremental[Height], 1), MATCH('Cumulative Volumes Metric'!$F$4, Metric_Incremental[#Headers], 0)), 0))</f>
        <v>0.11751307971117091</v>
      </c>
      <c r="E84" s="80">
        <f>IF(A84=0,"",IF('Metric Data'!AG73&gt;=1, INDEX(Metric_Incremental[], MATCH('Metric Data'!AG73, Metric_Incremental[Height], 1), MATCH('Cumulative Volumes Metric'!$F$4 &amp; "EC", Metric_Incremental[#Headers], 0)), 0))</f>
        <v>3.0811307093303132E-2</v>
      </c>
      <c r="F84" s="30">
        <f t="shared" si="27"/>
        <v>11.751307971117091</v>
      </c>
      <c r="G84" s="30">
        <f t="shared" si="14"/>
        <v>0.30811307093303131</v>
      </c>
      <c r="H84" s="30">
        <f>IF(A84=0,"",IF('Cumulative Volumes Metric'!$AR$17=FALSE,J84,I84))</f>
        <v>1.1706315831799508</v>
      </c>
      <c r="I84" s="30">
        <f t="shared" si="15"/>
        <v>1.1706315831799508</v>
      </c>
      <c r="J84" s="30">
        <f t="shared" si="16"/>
        <v>1.151104111947951</v>
      </c>
      <c r="K84" s="30">
        <f>IF(A84=0,"",IF('Cumulative Volumes Metric'!$AR$17=FALSE,M84,L84))</f>
        <v>13.230052625230073</v>
      </c>
      <c r="L84" s="30">
        <f t="shared" si="17"/>
        <v>13.230052625230073</v>
      </c>
      <c r="M84" s="30">
        <f t="shared" si="18"/>
        <v>13.210525153998073</v>
      </c>
      <c r="N84" s="30">
        <f>IF(($E$8/25.4)+45+($E$9/25.4)&gt;989,"FALSE",IF(A84="","",IF('Cumulative Volumes Metric'!$AR$17=FALSE,P84,O84)))</f>
        <v>80.44855600226532</v>
      </c>
      <c r="O84" s="30">
        <f t="shared" si="19"/>
        <v>80.44855600226532</v>
      </c>
      <c r="P84" s="30">
        <f>IF(A84=0,"",IF('Cumulative Volumes Metric'!$AR$17=FALSE,(U84*$E$4)+(V84*$E$5),O84))</f>
        <v>80.44855600226532</v>
      </c>
      <c r="Q84" s="30">
        <f>IF(A84=0,"",(((25.4/1000)*'Metric Data'!$AC$4*'Metric Data'!$AC$5)-D84)*($E$6/100))</f>
        <v>9.5421785155316366E-3</v>
      </c>
      <c r="R84" s="30">
        <f t="shared" si="20"/>
        <v>0.95421785155316363</v>
      </c>
      <c r="S84" s="30">
        <f>IF(A84=0,"",(((25.4/1000)*'Metric Data'!$AC$5*'Metric Data'!$AC$7)-E84)*($E$6/100))</f>
        <v>1.968862603947874E-2</v>
      </c>
      <c r="T84" s="30">
        <f t="shared" si="21"/>
        <v>0.1968862603947874</v>
      </c>
      <c r="U84" s="30">
        <f t="shared" si="22"/>
        <v>0.76339467124553306</v>
      </c>
      <c r="V84" s="30">
        <f t="shared" si="23"/>
        <v>0.38942866941600202</v>
      </c>
      <c r="W84" s="30">
        <f t="shared" si="24"/>
        <v>100.2794</v>
      </c>
    </row>
    <row r="85" spans="1:23" x14ac:dyDescent="0.2">
      <c r="A85" s="34">
        <f t="shared" si="25"/>
        <v>10</v>
      </c>
      <c r="B85" s="34">
        <v>72</v>
      </c>
      <c r="C85" s="34">
        <f t="shared" si="26"/>
        <v>254</v>
      </c>
      <c r="D85" s="30">
        <f>IF(A85=0,"",IF('Metric Data'!AG74&gt;=1, INDEX(Metric_Incremental[], MATCH('Metric Data'!AG74, Metric_Incremental[Height], 1), MATCH('Cumulative Volumes Metric'!$F$4, Metric_Incremental[#Headers], 0)), 0))</f>
        <v>0.11810884836471754</v>
      </c>
      <c r="E85" s="80">
        <f>IF(A85=0,"",IF('Metric Data'!AG74&gt;=1, INDEX(Metric_Incremental[], MATCH('Metric Data'!AG74, Metric_Incremental[Height], 1), MATCH('Cumulative Volumes Metric'!$F$4 &amp; "EC", Metric_Incremental[#Headers], 0)), 0))</f>
        <v>3.1328745858700269E-2</v>
      </c>
      <c r="F85" s="30">
        <f t="shared" si="27"/>
        <v>11.810884836471754</v>
      </c>
      <c r="G85" s="30">
        <f t="shared" si="14"/>
        <v>0.31328745858700269</v>
      </c>
      <c r="H85" s="30">
        <f>IF(A85=0,"",IF('Cumulative Volumes Metric'!$AR$17=FALSE,J85,I85))</f>
        <v>1.1447310819764973</v>
      </c>
      <c r="I85" s="30">
        <f t="shared" si="15"/>
        <v>1.1447310819764973</v>
      </c>
      <c r="J85" s="30">
        <f t="shared" si="16"/>
        <v>1.1252036107444972</v>
      </c>
      <c r="K85" s="30">
        <f>IF(A85=0,"",IF('Cumulative Volumes Metric'!$AR$17=FALSE,M85,L85))</f>
        <v>13.268903377035253</v>
      </c>
      <c r="L85" s="30">
        <f t="shared" si="17"/>
        <v>13.268903377035253</v>
      </c>
      <c r="M85" s="30">
        <f t="shared" si="18"/>
        <v>13.249375905803253</v>
      </c>
      <c r="N85" s="30">
        <f>IF(($E$8/25.4)+45+($E$9/25.4)&gt;989,"FALSE",IF(A85="","",IF('Cumulative Volumes Metric'!$AR$17=FALSE,P85,O85)))</f>
        <v>67.218503377035248</v>
      </c>
      <c r="O85" s="30">
        <f t="shared" si="19"/>
        <v>67.218503377035248</v>
      </c>
      <c r="P85" s="30">
        <f>IF(A85=0,"",IF('Cumulative Volumes Metric'!$AR$17=FALSE,(U85*$E$4)+(V85*$E$5),O85))</f>
        <v>67.218503377035248</v>
      </c>
      <c r="Q85" s="30">
        <f>IF(A85=0,"",(((25.4/1000)*'Metric Data'!$AC$4*'Metric Data'!$AC$5)-D85)*($E$6/100))</f>
        <v>9.3038710541129832E-3</v>
      </c>
      <c r="R85" s="30">
        <f t="shared" si="20"/>
        <v>0.93038710541129832</v>
      </c>
      <c r="S85" s="30">
        <f>IF(A85=0,"",(((25.4/1000)*'Metric Data'!$AC$5*'Metric Data'!$AC$7)-E85)*($E$6/100))</f>
        <v>1.9481650533319884E-2</v>
      </c>
      <c r="T85" s="30">
        <f t="shared" si="21"/>
        <v>0.19481650533319883</v>
      </c>
      <c r="U85" s="30">
        <f t="shared" si="22"/>
        <v>0.63633941301883057</v>
      </c>
      <c r="V85" s="30">
        <f t="shared" si="23"/>
        <v>0.33892873628322012</v>
      </c>
      <c r="W85" s="30">
        <f t="shared" si="24"/>
        <v>100.254</v>
      </c>
    </row>
    <row r="86" spans="1:23" x14ac:dyDescent="0.2">
      <c r="A86" s="34">
        <f t="shared" si="25"/>
        <v>9</v>
      </c>
      <c r="B86" s="34">
        <v>73</v>
      </c>
      <c r="C86" s="34">
        <f t="shared" si="26"/>
        <v>228.6</v>
      </c>
      <c r="D86" s="30">
        <f>IF(A86=0,"",IF('Metric Data'!AG75&gt;=1, INDEX(Metric_Incremental[], MATCH('Metric Data'!AG75, Metric_Incremental[Height], 1), MATCH('Cumulative Volumes Metric'!$F$4, Metric_Incremental[#Headers], 0)), 0))</f>
        <v>0</v>
      </c>
      <c r="E86" s="80">
        <f>IF(A86=0,"",IF('Metric Data'!AG75&gt;=1, INDEX(Metric_Incremental[], MATCH('Metric Data'!AG75, Metric_Incremental[Height], 1), MATCH('Cumulative Volumes Metric'!$F$4 &amp; "EC", Metric_Incremental[#Headers], 0)), 0))</f>
        <v>0</v>
      </c>
      <c r="F86" s="30">
        <f t="shared" si="27"/>
        <v>0</v>
      </c>
      <c r="G86" s="30">
        <f t="shared" si="14"/>
        <v>0</v>
      </c>
      <c r="H86" s="30">
        <f>IF(A86=0,"",IF('Cumulative Volumes Metric'!$AR$17=FALSE,J86,I86))</f>
        <v>5.9943999999999997</v>
      </c>
      <c r="I86" s="30">
        <f t="shared" si="15"/>
        <v>5.9943999999999997</v>
      </c>
      <c r="J86" s="30">
        <f t="shared" si="16"/>
        <v>5.9748725287679996</v>
      </c>
      <c r="K86" s="30">
        <f>IF(A86=0,"",IF('Cumulative Volumes Metric'!$AR$17=FALSE,M86,L86))</f>
        <v>5.9943999999999997</v>
      </c>
      <c r="L86" s="30">
        <f t="shared" si="17"/>
        <v>5.9943999999999997</v>
      </c>
      <c r="M86" s="30">
        <f t="shared" si="18"/>
        <v>5.9748725287679996</v>
      </c>
      <c r="N86" s="30">
        <f>IF(($E$8/25.4)+45+($E$9/25.4)&gt;989,"FALSE",IF(A86="","",IF('Cumulative Volumes Metric'!$AR$17=FALSE,P86,O86)))</f>
        <v>53.949599999999997</v>
      </c>
      <c r="O86" s="30">
        <f t="shared" si="19"/>
        <v>53.949599999999997</v>
      </c>
      <c r="P86" s="30">
        <f>IF(A86=0,"",IF('Cumulative Volumes Metric'!$AR$17=FALSE,(U86*$E$4)+(V86*$E$5),O86))</f>
        <v>53.949599999999997</v>
      </c>
      <c r="Q86" s="30">
        <f>IF(A86=0,"",(((25.4/1000)*'Metric Data'!$AC$4*'Metric Data'!$AC$5)-D86)*($E$6/100))</f>
        <v>5.6547410399999998E-2</v>
      </c>
      <c r="R86" s="30">
        <f t="shared" si="20"/>
        <v>5.6547410399999993</v>
      </c>
      <c r="S86" s="30">
        <f>IF(A86=0,"",(((25.4/1000)*'Metric Data'!$AC$5*'Metric Data'!$AC$7)-E86)*($E$6/100))</f>
        <v>3.2013148876799992E-2</v>
      </c>
      <c r="T86" s="30">
        <f t="shared" si="21"/>
        <v>0.32013148876799991</v>
      </c>
      <c r="U86" s="30">
        <f t="shared" si="22"/>
        <v>0.50892669359999998</v>
      </c>
      <c r="V86" s="30">
        <f t="shared" si="23"/>
        <v>0.28811833989119995</v>
      </c>
      <c r="W86" s="30">
        <f t="shared" si="24"/>
        <v>100.2286</v>
      </c>
    </row>
    <row r="87" spans="1:23" x14ac:dyDescent="0.2">
      <c r="A87" s="34">
        <f t="shared" si="25"/>
        <v>8</v>
      </c>
      <c r="B87" s="34">
        <v>74</v>
      </c>
      <c r="C87" s="34">
        <f t="shared" si="26"/>
        <v>203.2</v>
      </c>
      <c r="D87" s="30">
        <f>IF(A87=0,"",IF('Metric Data'!AG76&gt;=1, INDEX(Metric_Incremental[], MATCH('Metric Data'!AG76, Metric_Incremental[Height], 1), MATCH('Cumulative Volumes Metric'!$F$4, Metric_Incremental[#Headers], 0)), 0))</f>
        <v>0</v>
      </c>
      <c r="E87" s="80">
        <f>IF(A87=0,"",IF('Metric Data'!AG76&gt;=1, INDEX(Metric_Incremental[], MATCH('Metric Data'!AG76, Metric_Incremental[Height], 1), MATCH('Cumulative Volumes Metric'!$F$4 &amp; "EC", Metric_Incremental[#Headers], 0)), 0))</f>
        <v>0</v>
      </c>
      <c r="F87" s="30">
        <f t="shared" si="27"/>
        <v>0</v>
      </c>
      <c r="G87" s="30">
        <f t="shared" si="14"/>
        <v>0</v>
      </c>
      <c r="H87" s="30">
        <f>IF(A87=0,"",IF('Cumulative Volumes Metric'!$AR$17=FALSE,J87,I87))</f>
        <v>5.9943999999999997</v>
      </c>
      <c r="I87" s="30">
        <f t="shared" si="15"/>
        <v>5.9943999999999997</v>
      </c>
      <c r="J87" s="30">
        <f t="shared" si="16"/>
        <v>5.9748725287679996</v>
      </c>
      <c r="K87" s="30">
        <f>IF(A87=0,"",IF('Cumulative Volumes Metric'!$AR$17=FALSE,M87,L87))</f>
        <v>5.9943999999999997</v>
      </c>
      <c r="L87" s="30">
        <f t="shared" si="17"/>
        <v>5.9943999999999997</v>
      </c>
      <c r="M87" s="30">
        <f t="shared" si="18"/>
        <v>5.9748725287679996</v>
      </c>
      <c r="N87" s="30">
        <f>IF(($E$8/25.4)+45+($E$9/25.4)&gt;989,"FALSE",IF(A87="","",IF('Cumulative Volumes Metric'!$AR$17=FALSE,P87,O87)))</f>
        <v>47.955199999999998</v>
      </c>
      <c r="O87" s="30">
        <f t="shared" si="19"/>
        <v>47.955199999999998</v>
      </c>
      <c r="P87" s="30">
        <f>IF(A87=0,"",IF('Cumulative Volumes Metric'!$AR$17=FALSE,(U87*$E$4)+(V87*$E$5),O87))</f>
        <v>47.955199999999998</v>
      </c>
      <c r="Q87" s="30">
        <f>IF(A87=0,"",(((25.4/1000)*'Metric Data'!$AC$4*'Metric Data'!$AC$5)-D87)*($E$6/100))</f>
        <v>5.6547410399999998E-2</v>
      </c>
      <c r="R87" s="30">
        <f t="shared" si="20"/>
        <v>5.6547410399999993</v>
      </c>
      <c r="S87" s="30">
        <f>IF(A87=0,"",(((25.4/1000)*'Metric Data'!$AC$5*'Metric Data'!$AC$7)-E87)*($E$6/100))</f>
        <v>3.2013148876799992E-2</v>
      </c>
      <c r="T87" s="30">
        <f t="shared" si="21"/>
        <v>0.32013148876799991</v>
      </c>
      <c r="U87" s="30">
        <f t="shared" si="22"/>
        <v>0.45237928319999998</v>
      </c>
      <c r="V87" s="30">
        <f t="shared" si="23"/>
        <v>0.25610519101439994</v>
      </c>
      <c r="W87" s="30">
        <f t="shared" si="24"/>
        <v>100.2032</v>
      </c>
    </row>
    <row r="88" spans="1:23" x14ac:dyDescent="0.2">
      <c r="A88" s="34">
        <f t="shared" si="25"/>
        <v>7</v>
      </c>
      <c r="B88" s="34">
        <v>75</v>
      </c>
      <c r="C88" s="34">
        <f t="shared" si="26"/>
        <v>177.79999999999998</v>
      </c>
      <c r="D88" s="30">
        <f>IF(A88=0,"",IF('Metric Data'!AG77&gt;=1, INDEX(Metric_Incremental[], MATCH('Metric Data'!AG77, Metric_Incremental[Height], 1), MATCH('Cumulative Volumes Metric'!$F$4, Metric_Incremental[#Headers], 0)), 0))</f>
        <v>0</v>
      </c>
      <c r="E88" s="80">
        <f>IF(A88=0,"",IF('Metric Data'!AG77&gt;=1, INDEX(Metric_Incremental[], MATCH('Metric Data'!AG77, Metric_Incremental[Height], 1), MATCH('Cumulative Volumes Metric'!$F$4 &amp; "EC", Metric_Incremental[#Headers], 0)), 0))</f>
        <v>0</v>
      </c>
      <c r="F88" s="30">
        <f t="shared" si="27"/>
        <v>0</v>
      </c>
      <c r="G88" s="30">
        <f t="shared" si="14"/>
        <v>0</v>
      </c>
      <c r="H88" s="30">
        <f>IF(A88=0,"",IF('Cumulative Volumes Metric'!$AR$17=FALSE,J88,I88))</f>
        <v>5.9943999999999997</v>
      </c>
      <c r="I88" s="30">
        <f t="shared" si="15"/>
        <v>5.9943999999999997</v>
      </c>
      <c r="J88" s="30">
        <f t="shared" si="16"/>
        <v>5.9748725287679996</v>
      </c>
      <c r="K88" s="30">
        <f>IF(A88=0,"",IF('Cumulative Volumes Metric'!$AR$17=FALSE,M88,L88))</f>
        <v>5.9943999999999997</v>
      </c>
      <c r="L88" s="30">
        <f t="shared" si="17"/>
        <v>5.9943999999999997</v>
      </c>
      <c r="M88" s="30">
        <f t="shared" si="18"/>
        <v>5.9748725287679996</v>
      </c>
      <c r="N88" s="30">
        <f>IF(($E$8/25.4)+45+($E$9/25.4)&gt;989,"FALSE",IF(A88="","",IF('Cumulative Volumes Metric'!$AR$17=FALSE,P88,O88)))</f>
        <v>41.960799999999999</v>
      </c>
      <c r="O88" s="30">
        <f t="shared" si="19"/>
        <v>41.960799999999999</v>
      </c>
      <c r="P88" s="30">
        <f>IF(A88=0,"",IF('Cumulative Volumes Metric'!$AR$17=FALSE,(U88*$E$4)+(V88*$E$5),O88))</f>
        <v>41.960799999999999</v>
      </c>
      <c r="Q88" s="30">
        <f>IF(A88=0,"",(((25.4/1000)*'Metric Data'!$AC$4*'Metric Data'!$AC$5)-D88)*($E$6/100))</f>
        <v>5.6547410399999998E-2</v>
      </c>
      <c r="R88" s="30">
        <f t="shared" si="20"/>
        <v>5.6547410399999993</v>
      </c>
      <c r="S88" s="30">
        <f>IF(A88=0,"",(((25.4/1000)*'Metric Data'!$AC$5*'Metric Data'!$AC$7)-E88)*($E$6/100))</f>
        <v>3.2013148876799992E-2</v>
      </c>
      <c r="T88" s="30">
        <f t="shared" si="21"/>
        <v>0.32013148876799991</v>
      </c>
      <c r="U88" s="30">
        <f t="shared" si="22"/>
        <v>0.39583187279999998</v>
      </c>
      <c r="V88" s="30">
        <f t="shared" si="23"/>
        <v>0.22409204213759992</v>
      </c>
      <c r="W88" s="30">
        <f t="shared" si="24"/>
        <v>100.1778</v>
      </c>
    </row>
    <row r="89" spans="1:23" x14ac:dyDescent="0.2">
      <c r="A89" s="34">
        <f t="shared" si="25"/>
        <v>6</v>
      </c>
      <c r="B89" s="34">
        <v>76</v>
      </c>
      <c r="C89" s="34">
        <f t="shared" si="26"/>
        <v>152.39999999999998</v>
      </c>
      <c r="D89" s="30">
        <f>IF(A89=0,"",IF('Metric Data'!AG78&gt;=1, INDEX(Metric_Incremental[], MATCH('Metric Data'!AG78, Metric_Incremental[Height], 1), MATCH('Cumulative Volumes Metric'!$F$4, Metric_Incremental[#Headers], 0)), 0))</f>
        <v>0</v>
      </c>
      <c r="E89" s="80">
        <f>IF(A89=0,"",IF('Metric Data'!AG78&gt;=1, INDEX(Metric_Incremental[], MATCH('Metric Data'!AG78, Metric_Incremental[Height], 1), MATCH('Cumulative Volumes Metric'!$F$4 &amp; "EC", Metric_Incremental[#Headers], 0)), 0))</f>
        <v>0</v>
      </c>
      <c r="F89" s="30">
        <f t="shared" si="27"/>
        <v>0</v>
      </c>
      <c r="G89" s="30">
        <f t="shared" si="14"/>
        <v>0</v>
      </c>
      <c r="H89" s="30">
        <f>IF(A89=0,"",IF('Cumulative Volumes Metric'!$AR$17=FALSE,J89,I89))</f>
        <v>5.9943999999999997</v>
      </c>
      <c r="I89" s="30">
        <f t="shared" si="15"/>
        <v>5.9943999999999997</v>
      </c>
      <c r="J89" s="30">
        <f t="shared" si="16"/>
        <v>5.9748725287679996</v>
      </c>
      <c r="K89" s="30">
        <f>IF(A89=0,"",IF('Cumulative Volumes Metric'!$AR$17=FALSE,M89,L89))</f>
        <v>5.9943999999999997</v>
      </c>
      <c r="L89" s="30">
        <f t="shared" si="17"/>
        <v>5.9943999999999997</v>
      </c>
      <c r="M89" s="30">
        <f t="shared" si="18"/>
        <v>5.9748725287679996</v>
      </c>
      <c r="N89" s="30">
        <f>IF(($E$8/25.4)+45+($E$9/25.4)&gt;989,"FALSE",IF(A89="","",IF('Cumulative Volumes Metric'!$AR$17=FALSE,P89,O89)))</f>
        <v>35.9664</v>
      </c>
      <c r="O89" s="30">
        <f t="shared" si="19"/>
        <v>35.9664</v>
      </c>
      <c r="P89" s="30">
        <f>IF(A89=0,"",IF('Cumulative Volumes Metric'!$AR$17=FALSE,(U89*$E$4)+(V89*$E$5),O89))</f>
        <v>35.9664</v>
      </c>
      <c r="Q89" s="30">
        <f>IF(A89=0,"",(((25.4/1000)*'Metric Data'!$AC$4*'Metric Data'!$AC$5)-D89)*($E$6/100))</f>
        <v>5.6547410399999998E-2</v>
      </c>
      <c r="R89" s="30">
        <f t="shared" si="20"/>
        <v>5.6547410399999993</v>
      </c>
      <c r="S89" s="30">
        <f>IF(A89=0,"",(((25.4/1000)*'Metric Data'!$AC$5*'Metric Data'!$AC$7)-E89)*($E$6/100))</f>
        <v>3.2013148876799992E-2</v>
      </c>
      <c r="T89" s="30">
        <f t="shared" si="21"/>
        <v>0.32013148876799991</v>
      </c>
      <c r="U89" s="30">
        <f t="shared" si="22"/>
        <v>0.33928446239999999</v>
      </c>
      <c r="V89" s="30">
        <f t="shared" si="23"/>
        <v>0.19207889326079994</v>
      </c>
      <c r="W89" s="30">
        <f t="shared" si="24"/>
        <v>100.1524</v>
      </c>
    </row>
    <row r="90" spans="1:23" x14ac:dyDescent="0.2">
      <c r="A90" s="34">
        <f t="shared" si="25"/>
        <v>5</v>
      </c>
      <c r="B90" s="34">
        <v>77</v>
      </c>
      <c r="C90" s="34">
        <f t="shared" si="26"/>
        <v>127</v>
      </c>
      <c r="D90" s="30">
        <f>IF(A90=0,"",IF('Metric Data'!AG79&gt;=1, INDEX(Metric_Incremental[], MATCH('Metric Data'!AG79, Metric_Incremental[Height], 1), MATCH('Cumulative Volumes Metric'!$F$4, Metric_Incremental[#Headers], 0)), 0))</f>
        <v>0</v>
      </c>
      <c r="E90" s="80">
        <f>IF(A90=0,"",IF('Metric Data'!AG79&gt;=1, INDEX(Metric_Incremental[], MATCH('Metric Data'!AG79, Metric_Incremental[Height], 1), MATCH('Cumulative Volumes Metric'!$F$4 &amp; "EC", Metric_Incremental[#Headers], 0)), 0))</f>
        <v>0</v>
      </c>
      <c r="F90" s="30">
        <f t="shared" si="27"/>
        <v>0</v>
      </c>
      <c r="G90" s="30">
        <f t="shared" si="14"/>
        <v>0</v>
      </c>
      <c r="H90" s="30">
        <f>IF(A90=0,"",IF('Cumulative Volumes Metric'!$AR$17=FALSE,J90,I90))</f>
        <v>5.9943999999999997</v>
      </c>
      <c r="I90" s="30">
        <f t="shared" si="15"/>
        <v>5.9943999999999997</v>
      </c>
      <c r="J90" s="30">
        <f t="shared" si="16"/>
        <v>5.9748725287679996</v>
      </c>
      <c r="K90" s="30">
        <f>IF(A90=0,"",IF('Cumulative Volumes Metric'!$AR$17=FALSE,M90,L90))</f>
        <v>5.9943999999999997</v>
      </c>
      <c r="L90" s="30">
        <f t="shared" si="17"/>
        <v>5.9943999999999997</v>
      </c>
      <c r="M90" s="30">
        <f t="shared" si="18"/>
        <v>5.9748725287679996</v>
      </c>
      <c r="N90" s="30">
        <f>IF(($E$8/25.4)+45+($E$9/25.4)&gt;989,"FALSE",IF(A90="","",IF('Cumulative Volumes Metric'!$AR$17=FALSE,P90,O90)))</f>
        <v>29.971999999999998</v>
      </c>
      <c r="O90" s="30">
        <f t="shared" si="19"/>
        <v>29.971999999999998</v>
      </c>
      <c r="P90" s="30">
        <f>IF(A90=0,"",IF('Cumulative Volumes Metric'!$AR$17=FALSE,(U90*$E$4)+(V90*$E$5),O90))</f>
        <v>29.971999999999998</v>
      </c>
      <c r="Q90" s="30">
        <f>IF(A90=0,"",(((25.4/1000)*'Metric Data'!$AC$4*'Metric Data'!$AC$5)-D90)*($E$6/100))</f>
        <v>5.6547410399999998E-2</v>
      </c>
      <c r="R90" s="30">
        <f t="shared" si="20"/>
        <v>5.6547410399999993</v>
      </c>
      <c r="S90" s="30">
        <f>IF(A90=0,"",(((25.4/1000)*'Metric Data'!$AC$5*'Metric Data'!$AC$7)-E90)*($E$6/100))</f>
        <v>3.2013148876799992E-2</v>
      </c>
      <c r="T90" s="30">
        <f t="shared" si="21"/>
        <v>0.32013148876799991</v>
      </c>
      <c r="U90" s="30">
        <f t="shared" si="22"/>
        <v>0.28273705199999999</v>
      </c>
      <c r="V90" s="30">
        <f t="shared" si="23"/>
        <v>0.16006574438399995</v>
      </c>
      <c r="W90" s="30">
        <f t="shared" si="24"/>
        <v>100.127</v>
      </c>
    </row>
    <row r="91" spans="1:23" x14ac:dyDescent="0.2">
      <c r="A91" s="34">
        <f t="shared" si="25"/>
        <v>4</v>
      </c>
      <c r="B91" s="34">
        <v>78</v>
      </c>
      <c r="C91" s="34">
        <f t="shared" si="26"/>
        <v>101.6</v>
      </c>
      <c r="D91" s="30">
        <f>IF(A91=0,"",IF('Metric Data'!AG80&gt;=1, INDEX(Metric_Incremental[], MATCH('Metric Data'!AG80, Metric_Incremental[Height], 1), MATCH('Cumulative Volumes Metric'!$F$4, Metric_Incremental[#Headers], 0)), 0))</f>
        <v>0</v>
      </c>
      <c r="E91" s="80">
        <f>IF(A91=0,"",IF('Metric Data'!AG80&gt;=1, INDEX(Metric_Incremental[], MATCH('Metric Data'!AG80, Metric_Incremental[Height], 1), MATCH('Cumulative Volumes Metric'!$F$4 &amp; "EC", Metric_Incremental[#Headers], 0)), 0))</f>
        <v>0</v>
      </c>
      <c r="F91" s="30">
        <f t="shared" si="27"/>
        <v>0</v>
      </c>
      <c r="G91" s="30">
        <f t="shared" si="14"/>
        <v>0</v>
      </c>
      <c r="H91" s="30">
        <f>IF(A91=0,"",IF('Cumulative Volumes Metric'!$AR$17=FALSE,J91,I91))</f>
        <v>5.9943999999999997</v>
      </c>
      <c r="I91" s="30">
        <f t="shared" si="15"/>
        <v>5.9943999999999997</v>
      </c>
      <c r="J91" s="30">
        <f t="shared" si="16"/>
        <v>5.9748725287679996</v>
      </c>
      <c r="K91" s="30">
        <f>IF(A91=0,"",IF('Cumulative Volumes Metric'!$AR$17=FALSE,M91,L91))</f>
        <v>5.9943999999999997</v>
      </c>
      <c r="L91" s="30">
        <f t="shared" si="17"/>
        <v>5.9943999999999997</v>
      </c>
      <c r="M91" s="30">
        <f t="shared" si="18"/>
        <v>5.9748725287679996</v>
      </c>
      <c r="N91" s="30">
        <f>IF(($E$8/25.4)+45+($E$9/25.4)&gt;989,"FALSE",IF(A91="","",IF('Cumulative Volumes Metric'!$AR$17=FALSE,P91,O91)))</f>
        <v>23.977599999999999</v>
      </c>
      <c r="O91" s="30">
        <f t="shared" si="19"/>
        <v>23.977599999999999</v>
      </c>
      <c r="P91" s="30">
        <f>IF(A91=0,"",IF('Cumulative Volumes Metric'!$AR$17=FALSE,(U91*$E$4)+(V91*$E$5),O91))</f>
        <v>23.977599999999999</v>
      </c>
      <c r="Q91" s="30">
        <f>IF(A91=0,"",(((25.4/1000)*'Metric Data'!$AC$4*'Metric Data'!$AC$5)-D91)*($E$6/100))</f>
        <v>5.6547410399999998E-2</v>
      </c>
      <c r="R91" s="30">
        <f t="shared" si="20"/>
        <v>5.6547410399999993</v>
      </c>
      <c r="S91" s="30">
        <f>IF(A91=0,"",(((25.4/1000)*'Metric Data'!$AC$5*'Metric Data'!$AC$7)-E91)*($E$6/100))</f>
        <v>3.2013148876799992E-2</v>
      </c>
      <c r="T91" s="30">
        <f t="shared" si="21"/>
        <v>0.32013148876799991</v>
      </c>
      <c r="U91" s="30">
        <f t="shared" si="22"/>
        <v>0.22618964159999999</v>
      </c>
      <c r="V91" s="30">
        <f t="shared" si="23"/>
        <v>0.12805259550719997</v>
      </c>
      <c r="W91" s="30">
        <f t="shared" si="24"/>
        <v>100.1016</v>
      </c>
    </row>
    <row r="92" spans="1:23" x14ac:dyDescent="0.2">
      <c r="A92" s="34">
        <f t="shared" si="25"/>
        <v>3</v>
      </c>
      <c r="B92" s="34">
        <v>79</v>
      </c>
      <c r="C92" s="34">
        <f t="shared" si="26"/>
        <v>76.199999999999989</v>
      </c>
      <c r="D92" s="30">
        <f>IF(A92=0,"",IF('Metric Data'!AG81&gt;=1, INDEX(Metric_Incremental[], MATCH('Metric Data'!AG81, Metric_Incremental[Height], 1), MATCH('Cumulative Volumes Metric'!$F$4, Metric_Incremental[#Headers], 0)), 0))</f>
        <v>0</v>
      </c>
      <c r="E92" s="80">
        <f>IF(A92=0,"",IF('Metric Data'!AG81&gt;=1, INDEX(Metric_Incremental[], MATCH('Metric Data'!AG81, Metric_Incremental[Height], 1), MATCH('Cumulative Volumes Metric'!$F$4 &amp; "EC", Metric_Incremental[#Headers], 0)), 0))</f>
        <v>0</v>
      </c>
      <c r="F92" s="30">
        <f t="shared" si="27"/>
        <v>0</v>
      </c>
      <c r="G92" s="30">
        <f t="shared" si="14"/>
        <v>0</v>
      </c>
      <c r="H92" s="30">
        <f>IF(A92=0,"",IF('Cumulative Volumes Metric'!$AR$17=FALSE,J92,I92))</f>
        <v>5.9943999999999997</v>
      </c>
      <c r="I92" s="30">
        <f t="shared" si="15"/>
        <v>5.9943999999999997</v>
      </c>
      <c r="J92" s="30">
        <f t="shared" si="16"/>
        <v>5.9748725287679996</v>
      </c>
      <c r="K92" s="30">
        <f>IF(A92=0,"",IF('Cumulative Volumes Metric'!$AR$17=FALSE,M92,L92))</f>
        <v>5.9943999999999997</v>
      </c>
      <c r="L92" s="30">
        <f t="shared" si="17"/>
        <v>5.9943999999999997</v>
      </c>
      <c r="M92" s="30">
        <f t="shared" si="18"/>
        <v>5.9748725287679996</v>
      </c>
      <c r="N92" s="30">
        <f>IF(($E$8/25.4)+45+($E$9/25.4)&gt;989,"FALSE",IF(A92="","",IF('Cumulative Volumes Metric'!$AR$17=FALSE,P92,O92)))</f>
        <v>17.9832</v>
      </c>
      <c r="O92" s="30">
        <f t="shared" si="19"/>
        <v>17.9832</v>
      </c>
      <c r="P92" s="30">
        <f>IF(A92=0,"",IF('Cumulative Volumes Metric'!$AR$17=FALSE,(U92*$E$4)+(V92*$E$5),O92))</f>
        <v>17.9832</v>
      </c>
      <c r="Q92" s="30">
        <f>IF(A92=0,"",(((25.4/1000)*'Metric Data'!$AC$4*'Metric Data'!$AC$5)-D92)*($E$6/100))</f>
        <v>5.6547410399999998E-2</v>
      </c>
      <c r="R92" s="30">
        <f t="shared" si="20"/>
        <v>5.6547410399999993</v>
      </c>
      <c r="S92" s="30">
        <f>IF(A92=0,"",(((25.4/1000)*'Metric Data'!$AC$5*'Metric Data'!$AC$7)-E92)*($E$6/100))</f>
        <v>3.2013148876799992E-2</v>
      </c>
      <c r="T92" s="30">
        <f t="shared" si="21"/>
        <v>0.32013148876799991</v>
      </c>
      <c r="U92" s="30">
        <f t="shared" si="22"/>
        <v>0.16964223119999999</v>
      </c>
      <c r="V92" s="30">
        <f t="shared" si="23"/>
        <v>9.6039446630399983E-2</v>
      </c>
      <c r="W92" s="30">
        <f t="shared" si="24"/>
        <v>100.0762</v>
      </c>
    </row>
    <row r="93" spans="1:23" x14ac:dyDescent="0.2">
      <c r="A93" s="34">
        <f t="shared" si="25"/>
        <v>2</v>
      </c>
      <c r="B93" s="34">
        <v>80</v>
      </c>
      <c r="C93" s="34">
        <f t="shared" si="26"/>
        <v>50.8</v>
      </c>
      <c r="D93" s="30">
        <f>IF(A93=0,"",IF('Metric Data'!AG82&gt;=1, INDEX(Metric_Incremental[], MATCH('Metric Data'!AG82, Metric_Incremental[Height], 1), MATCH('Cumulative Volumes Metric'!$F$4, Metric_Incremental[#Headers], 0)), 0))</f>
        <v>0</v>
      </c>
      <c r="E93" s="80">
        <f>IF(A93=0,"",IF('Metric Data'!AG82&gt;=1, INDEX(Metric_Incremental[], MATCH('Metric Data'!AG82, Metric_Incremental[Height], 1), MATCH('Cumulative Volumes Metric'!$F$4 &amp; "EC", Metric_Incremental[#Headers], 0)), 0))</f>
        <v>0</v>
      </c>
      <c r="F93" s="30">
        <f t="shared" si="27"/>
        <v>0</v>
      </c>
      <c r="G93" s="30">
        <f t="shared" si="14"/>
        <v>0</v>
      </c>
      <c r="H93" s="30">
        <f>IF(A93=0,"",IF('Cumulative Volumes Metric'!$AR$17=FALSE,J93,I93))</f>
        <v>5.9943999999999997</v>
      </c>
      <c r="I93" s="30">
        <f t="shared" si="15"/>
        <v>5.9943999999999997</v>
      </c>
      <c r="J93" s="30">
        <f t="shared" si="16"/>
        <v>5.9748725287679996</v>
      </c>
      <c r="K93" s="30">
        <f>IF(A93=0,"",IF('Cumulative Volumes Metric'!$AR$17=FALSE,M93,L93))</f>
        <v>5.9943999999999997</v>
      </c>
      <c r="L93" s="30">
        <f t="shared" si="17"/>
        <v>5.9943999999999997</v>
      </c>
      <c r="M93" s="30">
        <f t="shared" si="18"/>
        <v>5.9748725287679996</v>
      </c>
      <c r="N93" s="30">
        <f>IF(($E$8/25.4)+45+($E$9/25.4)&gt;989,"FALSE",IF(A93="","",IF('Cumulative Volumes Metric'!$AR$17=FALSE,P93,O93)))</f>
        <v>11.988799999999999</v>
      </c>
      <c r="O93" s="30">
        <f t="shared" si="19"/>
        <v>11.988799999999999</v>
      </c>
      <c r="P93" s="30">
        <f>IF(A93=0,"",IF('Cumulative Volumes Metric'!$AR$17=FALSE,(U93*$E$4)+(V93*$E$5),O93))</f>
        <v>11.988799999999999</v>
      </c>
      <c r="Q93" s="30">
        <f>IF(A93=0,"",(((25.4/1000)*'Metric Data'!$AC$4*'Metric Data'!$AC$5)-D93)*($E$6/100))</f>
        <v>5.6547410399999998E-2</v>
      </c>
      <c r="R93" s="30">
        <f t="shared" si="20"/>
        <v>5.6547410399999993</v>
      </c>
      <c r="S93" s="30">
        <f>IF(A93=0,"",(((25.4/1000)*'Metric Data'!$AC$5*'Metric Data'!$AC$7)-E93)*($E$6/100))</f>
        <v>3.2013148876799992E-2</v>
      </c>
      <c r="T93" s="30">
        <f t="shared" si="21"/>
        <v>0.32013148876799991</v>
      </c>
      <c r="U93" s="30">
        <f t="shared" si="22"/>
        <v>0.1130948208</v>
      </c>
      <c r="V93" s="30">
        <f t="shared" si="23"/>
        <v>6.4026297753599984E-2</v>
      </c>
      <c r="W93" s="30">
        <f t="shared" si="24"/>
        <v>100.0508</v>
      </c>
    </row>
    <row r="94" spans="1:23" x14ac:dyDescent="0.2">
      <c r="A94" s="34">
        <f t="shared" si="25"/>
        <v>1</v>
      </c>
      <c r="B94" s="34">
        <v>81</v>
      </c>
      <c r="C94" s="34">
        <f t="shared" si="26"/>
        <v>25.4</v>
      </c>
      <c r="D94" s="30">
        <f>IF(A94=0,"",IF('Metric Data'!AG83&gt;=1, INDEX(Metric_Incremental[], MATCH('Metric Data'!AG83, Metric_Incremental[Height], 1), MATCH('Cumulative Volumes Metric'!$F$4, Metric_Incremental[#Headers], 0)), 0))</f>
        <v>0</v>
      </c>
      <c r="E94" s="80">
        <f>IF(A94=0,"",IF('Metric Data'!AG83&gt;=1, INDEX(Metric_Incremental[], MATCH('Metric Data'!AG83, Metric_Incremental[Height], 1), MATCH('Cumulative Volumes Metric'!$F$4 &amp; "EC", Metric_Incremental[#Headers], 0)), 0))</f>
        <v>0</v>
      </c>
      <c r="F94" s="30">
        <f t="shared" si="27"/>
        <v>0</v>
      </c>
      <c r="G94" s="30">
        <f t="shared" si="14"/>
        <v>0</v>
      </c>
      <c r="H94" s="30">
        <f>IF(A94=0,"",IF('Cumulative Volumes Metric'!$AR$17=FALSE,J94,I94))</f>
        <v>5.9943999999999997</v>
      </c>
      <c r="I94" s="30">
        <f t="shared" si="15"/>
        <v>5.9943999999999997</v>
      </c>
      <c r="J94" s="30">
        <f t="shared" si="16"/>
        <v>5.9748725287679996</v>
      </c>
      <c r="K94" s="30">
        <f>IF(A94=0,"",IF('Cumulative Volumes Metric'!$AR$17=FALSE,M94,L94))</f>
        <v>5.9943999999999997</v>
      </c>
      <c r="L94" s="30">
        <f t="shared" si="17"/>
        <v>5.9943999999999997</v>
      </c>
      <c r="M94" s="30">
        <f t="shared" si="18"/>
        <v>5.9748725287679996</v>
      </c>
      <c r="N94" s="30">
        <f>IF(($E$8/25.4)+45+($E$9/25.4)&gt;989,"FALSE",IF(A94="","",IF('Cumulative Volumes Metric'!$AR$17=FALSE,P94,O94)))</f>
        <v>5.9943999999999997</v>
      </c>
      <c r="O94" s="30">
        <f t="shared" si="19"/>
        <v>5.9943999999999997</v>
      </c>
      <c r="P94" s="30">
        <f>IF(A94=0,"",IF('Cumulative Volumes Metric'!$AR$17=FALSE,(U94*$E$4)+(V94*$E$5),O94))</f>
        <v>5.9943999999999997</v>
      </c>
      <c r="Q94" s="30">
        <f>IF(A94=0,"",(((25.4/1000)*'Metric Data'!$AC$4*'Metric Data'!$AC$5)-D94)*($E$6/100))</f>
        <v>5.6547410399999998E-2</v>
      </c>
      <c r="R94" s="30">
        <f t="shared" si="20"/>
        <v>5.6547410399999993</v>
      </c>
      <c r="S94" s="30">
        <f>IF(A94=0,"",(((25.4/1000)*'Metric Data'!$AC$5*'Metric Data'!$AC$7)-E94)*($E$6/100))</f>
        <v>3.2013148876799992E-2</v>
      </c>
      <c r="T94" s="30">
        <f t="shared" si="21"/>
        <v>0.32013148876799991</v>
      </c>
      <c r="U94" s="30">
        <f t="shared" si="22"/>
        <v>5.6547410399999998E-2</v>
      </c>
      <c r="V94" s="30">
        <f t="shared" si="23"/>
        <v>3.2013148876799992E-2</v>
      </c>
      <c r="W94" s="30">
        <f t="shared" si="24"/>
        <v>100.0254</v>
      </c>
    </row>
    <row r="95" spans="1:23" x14ac:dyDescent="0.2">
      <c r="A95" s="34">
        <f t="shared" si="25"/>
        <v>0</v>
      </c>
      <c r="B95" s="34">
        <v>82</v>
      </c>
      <c r="C95" s="34">
        <f t="shared" ref="C95:C158" si="28">A95*25.4</f>
        <v>0</v>
      </c>
      <c r="D95" s="30" t="str">
        <f>IF(A95=0,"",IF('Metric Data'!AG84&gt;=1, INDEX(Metric_Incremental[], MATCH('Metric Data'!AG84, Metric_Incremental[Height], 1), MATCH('Cumulative Volumes Metric'!$F$4, Metric_Incremental[#Headers], 0)), 0))</f>
        <v/>
      </c>
      <c r="E95" s="80" t="str">
        <f>IF(A95=0,"",IF('Metric Data'!AG84&gt;=1, INDEX(Metric_Incremental[], MATCH('Metric Data'!AG84, Metric_Incremental[Height], 1), MATCH('Cumulative Volumes Metric'!$F$4 &amp; "EC", Metric_Incremental[#Headers], 0)), 0))</f>
        <v/>
      </c>
      <c r="F95" s="30" t="str">
        <f t="shared" ref="F95:F158" si="29">IF(A95=0,"",$E$4*D95)</f>
        <v/>
      </c>
      <c r="G95" s="30" t="str">
        <f t="shared" ref="G95:G158" si="30">IF(A95=0,"",$E$5*E95)</f>
        <v/>
      </c>
      <c r="H95" s="30" t="str">
        <f>IF(A95=0,"",IF('Cumulative Volumes Metric'!$AR$17=FALSE,J95,I95))</f>
        <v/>
      </c>
      <c r="I95" s="30" t="str">
        <f t="shared" ref="I95:I158" si="31">IF(A95=0,"",($E$6/100)*($E$10*(25.4/1000)-(F95+G95)))</f>
        <v/>
      </c>
      <c r="J95" s="30" t="str">
        <f t="shared" ref="J95:J158" si="32">IF(A95=0,"",R95+T95)</f>
        <v/>
      </c>
      <c r="K95" s="30" t="str">
        <f>IF(A95=0,"",IF('Cumulative Volumes Metric'!$AR$17=FALSE,M95,L95))</f>
        <v/>
      </c>
      <c r="L95" s="30" t="str">
        <f t="shared" ref="L95:L158" si="33">IF(A95=0,"",I95+F95+G95)</f>
        <v/>
      </c>
      <c r="M95" s="30" t="str">
        <f t="shared" ref="M95:M158" si="34">IF(A95=0,"",F95+G95+J95)</f>
        <v/>
      </c>
      <c r="N95" s="30" t="str">
        <f>IF(($E$8/25.4)+45+($E$9/25.4)&gt;989,"FALSE",IF(A95="","",IF('Cumulative Volumes Metric'!$AR$17=FALSE,P95,O95)))</f>
        <v/>
      </c>
      <c r="O95" s="30" t="str">
        <f t="shared" ref="O95:O158" si="35">IF(A95=0,"",IF(A95=1,L95,O96+L95))</f>
        <v/>
      </c>
      <c r="P95" s="30" t="str">
        <f>IF(A95=0,"",IF('Cumulative Volumes Metric'!$AR$17=FALSE,(U95*$E$4)+(V95*$E$5),O95))</f>
        <v/>
      </c>
      <c r="Q95" s="30" t="str">
        <f>IF(A95=0,"",(((25.4/1000)*'Metric Data'!$AC$4*'Metric Data'!$AC$5)-D95)*($E$6/100))</f>
        <v/>
      </c>
      <c r="R95" s="30" t="str">
        <f t="shared" ref="R95:R158" si="36">IF(A95=0,"",Q95*$E$4)</f>
        <v/>
      </c>
      <c r="S95" s="30" t="str">
        <f>IF(A95=0,"",(((25.4/1000)*'Metric Data'!$AC$5*'Metric Data'!$AC$7)-E95)*($E$6/100))</f>
        <v/>
      </c>
      <c r="T95" s="30" t="str">
        <f t="shared" ref="T95:T158" si="37">IF(A95=0,"",S95*$E$5)</f>
        <v/>
      </c>
      <c r="U95" s="30" t="str">
        <f t="shared" ref="U95:U158" si="38">IF(A95=0,"",IF(A95=1,D95+Q95,U96+D95+Q95))</f>
        <v/>
      </c>
      <c r="V95" s="30" t="str">
        <f t="shared" ref="V95:V158" si="39">IF(A95=0,"",IF(A95=1,E95+S95,V96+E95+S95))</f>
        <v/>
      </c>
      <c r="W95" s="30" t="str">
        <f t="shared" ref="W95:W158" si="40">IF(A95=0,"",$E$7+C95/1000)</f>
        <v/>
      </c>
    </row>
    <row r="96" spans="1:23" x14ac:dyDescent="0.2">
      <c r="A96" s="34">
        <f t="shared" si="25"/>
        <v>0</v>
      </c>
      <c r="B96" s="34">
        <v>83</v>
      </c>
      <c r="C96" s="34">
        <f t="shared" si="28"/>
        <v>0</v>
      </c>
      <c r="D96" s="30" t="str">
        <f>IF(A96=0,"",IF('Metric Data'!AG85&gt;=1, INDEX(Metric_Incremental[], MATCH('Metric Data'!AG85, Metric_Incremental[Height], 1), MATCH('Cumulative Volumes Metric'!$F$4, Metric_Incremental[#Headers], 0)), 0))</f>
        <v/>
      </c>
      <c r="E96" s="80" t="str">
        <f>IF(A96=0,"",IF('Metric Data'!AG85&gt;=1, INDEX(Metric_Incremental[], MATCH('Metric Data'!AG85, Metric_Incremental[Height], 1), MATCH('Cumulative Volumes Metric'!$F$4 &amp; "EC", Metric_Incremental[#Headers], 0)), 0))</f>
        <v/>
      </c>
      <c r="F96" s="30" t="str">
        <f t="shared" si="29"/>
        <v/>
      </c>
      <c r="G96" s="30" t="str">
        <f t="shared" si="30"/>
        <v/>
      </c>
      <c r="H96" s="30" t="str">
        <f>IF(A96=0,"",IF('Cumulative Volumes Metric'!$AR$17=FALSE,J96,I96))</f>
        <v/>
      </c>
      <c r="I96" s="30" t="str">
        <f t="shared" si="31"/>
        <v/>
      </c>
      <c r="J96" s="30" t="str">
        <f t="shared" si="32"/>
        <v/>
      </c>
      <c r="K96" s="30" t="str">
        <f>IF(A96=0,"",IF('Cumulative Volumes Metric'!$AR$17=FALSE,M96,L96))</f>
        <v/>
      </c>
      <c r="L96" s="30" t="str">
        <f t="shared" si="33"/>
        <v/>
      </c>
      <c r="M96" s="30" t="str">
        <f t="shared" si="34"/>
        <v/>
      </c>
      <c r="N96" s="30" t="str">
        <f>IF(($E$8/25.4)+45+($E$9/25.4)&gt;989,"FALSE",IF(A96="","",IF('Cumulative Volumes Metric'!$AR$17=FALSE,P96,O96)))</f>
        <v/>
      </c>
      <c r="O96" s="30" t="str">
        <f t="shared" si="35"/>
        <v/>
      </c>
      <c r="P96" s="30" t="str">
        <f>IF(A96=0,"",IF('Cumulative Volumes Metric'!$AR$17=FALSE,(U96*$E$4)+(V96*$E$5),O96))</f>
        <v/>
      </c>
      <c r="Q96" s="30" t="str">
        <f>IF(A96=0,"",(((25.4/1000)*'Metric Data'!$AC$4*'Metric Data'!$AC$5)-D96)*($E$6/100))</f>
        <v/>
      </c>
      <c r="R96" s="30" t="str">
        <f t="shared" si="36"/>
        <v/>
      </c>
      <c r="S96" s="30" t="str">
        <f>IF(A96=0,"",(((25.4/1000)*'Metric Data'!$AC$5*'Metric Data'!$AC$7)-E96)*($E$6/100))</f>
        <v/>
      </c>
      <c r="T96" s="30" t="str">
        <f t="shared" si="37"/>
        <v/>
      </c>
      <c r="U96" s="30" t="str">
        <f t="shared" si="38"/>
        <v/>
      </c>
      <c r="V96" s="30" t="str">
        <f t="shared" si="39"/>
        <v/>
      </c>
      <c r="W96" s="30" t="str">
        <f t="shared" si="40"/>
        <v/>
      </c>
    </row>
    <row r="97" spans="1:23" x14ac:dyDescent="0.2">
      <c r="A97" s="34">
        <f t="shared" si="25"/>
        <v>0</v>
      </c>
      <c r="B97" s="34">
        <v>84</v>
      </c>
      <c r="C97" s="34">
        <f t="shared" si="28"/>
        <v>0</v>
      </c>
      <c r="D97" s="30" t="str">
        <f>IF(A97=0,"",IF('Metric Data'!AG86&gt;=1, INDEX(Metric_Incremental[], MATCH('Metric Data'!AG86, Metric_Incremental[Height], 1), MATCH('Cumulative Volumes Metric'!$F$4, Metric_Incremental[#Headers], 0)), 0))</f>
        <v/>
      </c>
      <c r="E97" s="80" t="str">
        <f>IF(A97=0,"",IF('Metric Data'!AG86&gt;=1, INDEX(Metric_Incremental[], MATCH('Metric Data'!AG86, Metric_Incremental[Height], 1), MATCH('Cumulative Volumes Metric'!$F$4 &amp; "EC", Metric_Incremental[#Headers], 0)), 0))</f>
        <v/>
      </c>
      <c r="F97" s="30" t="str">
        <f t="shared" si="29"/>
        <v/>
      </c>
      <c r="G97" s="30" t="str">
        <f t="shared" si="30"/>
        <v/>
      </c>
      <c r="H97" s="30" t="str">
        <f>IF(A97=0,"",IF('Cumulative Volumes Metric'!$AR$17=FALSE,J97,I97))</f>
        <v/>
      </c>
      <c r="I97" s="30" t="str">
        <f t="shared" si="31"/>
        <v/>
      </c>
      <c r="J97" s="30" t="str">
        <f t="shared" si="32"/>
        <v/>
      </c>
      <c r="K97" s="30" t="str">
        <f>IF(A97=0,"",IF('Cumulative Volumes Metric'!$AR$17=FALSE,M97,L97))</f>
        <v/>
      </c>
      <c r="L97" s="30" t="str">
        <f t="shared" si="33"/>
        <v/>
      </c>
      <c r="M97" s="30" t="str">
        <f t="shared" si="34"/>
        <v/>
      </c>
      <c r="N97" s="30" t="str">
        <f>IF(($E$8/25.4)+45+($E$9/25.4)&gt;989,"FALSE",IF(A97="","",IF('Cumulative Volumes Metric'!$AR$17=FALSE,P97,O97)))</f>
        <v/>
      </c>
      <c r="O97" s="30" t="str">
        <f t="shared" si="35"/>
        <v/>
      </c>
      <c r="P97" s="30" t="str">
        <f>IF(A97=0,"",IF('Cumulative Volumes Metric'!$AR$17=FALSE,(U97*$E$4)+(V97*$E$5),O97))</f>
        <v/>
      </c>
      <c r="Q97" s="30" t="str">
        <f>IF(A97=0,"",(((25.4/1000)*'Metric Data'!$AC$4*'Metric Data'!$AC$5)-D97)*($E$6/100))</f>
        <v/>
      </c>
      <c r="R97" s="30" t="str">
        <f t="shared" si="36"/>
        <v/>
      </c>
      <c r="S97" s="30" t="str">
        <f>IF(A97=0,"",(((25.4/1000)*'Metric Data'!$AC$5*'Metric Data'!$AC$7)-E97)*($E$6/100))</f>
        <v/>
      </c>
      <c r="T97" s="30" t="str">
        <f t="shared" si="37"/>
        <v/>
      </c>
      <c r="U97" s="30" t="str">
        <f t="shared" si="38"/>
        <v/>
      </c>
      <c r="V97" s="30" t="str">
        <f t="shared" si="39"/>
        <v/>
      </c>
      <c r="W97" s="30" t="str">
        <f t="shared" si="40"/>
        <v/>
      </c>
    </row>
    <row r="98" spans="1:23" x14ac:dyDescent="0.2">
      <c r="A98" s="34">
        <f t="shared" si="25"/>
        <v>0</v>
      </c>
      <c r="B98" s="34">
        <v>85</v>
      </c>
      <c r="C98" s="34">
        <f t="shared" si="28"/>
        <v>0</v>
      </c>
      <c r="D98" s="30" t="str">
        <f>IF(A98=0,"",IF('Metric Data'!AG87&gt;=1, INDEX(Metric_Incremental[], MATCH('Metric Data'!AG87, Metric_Incremental[Height], 1), MATCH('Cumulative Volumes Metric'!$F$4, Metric_Incremental[#Headers], 0)), 0))</f>
        <v/>
      </c>
      <c r="E98" s="80" t="str">
        <f>IF(A98=0,"",IF('Metric Data'!AG87&gt;=1, INDEX(Metric_Incremental[], MATCH('Metric Data'!AG87, Metric_Incremental[Height], 1), MATCH('Cumulative Volumes Metric'!$F$4 &amp; "EC", Metric_Incremental[#Headers], 0)), 0))</f>
        <v/>
      </c>
      <c r="F98" s="30" t="str">
        <f t="shared" si="29"/>
        <v/>
      </c>
      <c r="G98" s="30" t="str">
        <f t="shared" si="30"/>
        <v/>
      </c>
      <c r="H98" s="30" t="str">
        <f>IF(A98=0,"",IF('Cumulative Volumes Metric'!$AR$17=FALSE,J98,I98))</f>
        <v/>
      </c>
      <c r="I98" s="30" t="str">
        <f t="shared" si="31"/>
        <v/>
      </c>
      <c r="J98" s="30" t="str">
        <f t="shared" si="32"/>
        <v/>
      </c>
      <c r="K98" s="30" t="str">
        <f>IF(A98=0,"",IF('Cumulative Volumes Metric'!$AR$17=FALSE,M98,L98))</f>
        <v/>
      </c>
      <c r="L98" s="30" t="str">
        <f t="shared" si="33"/>
        <v/>
      </c>
      <c r="M98" s="30" t="str">
        <f t="shared" si="34"/>
        <v/>
      </c>
      <c r="N98" s="30" t="str">
        <f>IF(($E$8/25.4)+45+($E$9/25.4)&gt;989,"FALSE",IF(A98="","",IF('Cumulative Volumes Metric'!$AR$17=FALSE,P98,O98)))</f>
        <v/>
      </c>
      <c r="O98" s="30" t="str">
        <f t="shared" si="35"/>
        <v/>
      </c>
      <c r="P98" s="30" t="str">
        <f>IF(A98=0,"",IF('Cumulative Volumes Metric'!$AR$17=FALSE,(U98*$E$4)+(V98*$E$5),O98))</f>
        <v/>
      </c>
      <c r="Q98" s="30" t="str">
        <f>IF(A98=0,"",(((25.4/1000)*'Metric Data'!$AC$4*'Metric Data'!$AC$5)-D98)*($E$6/100))</f>
        <v/>
      </c>
      <c r="R98" s="30" t="str">
        <f t="shared" si="36"/>
        <v/>
      </c>
      <c r="S98" s="30" t="str">
        <f>IF(A98=0,"",(((25.4/1000)*'Metric Data'!$AC$5*'Metric Data'!$AC$7)-E98)*($E$6/100))</f>
        <v/>
      </c>
      <c r="T98" s="30" t="str">
        <f t="shared" si="37"/>
        <v/>
      </c>
      <c r="U98" s="30" t="str">
        <f t="shared" si="38"/>
        <v/>
      </c>
      <c r="V98" s="30" t="str">
        <f t="shared" si="39"/>
        <v/>
      </c>
      <c r="W98" s="30" t="str">
        <f t="shared" si="40"/>
        <v/>
      </c>
    </row>
    <row r="99" spans="1:23" x14ac:dyDescent="0.2">
      <c r="A99" s="34">
        <f t="shared" si="25"/>
        <v>0</v>
      </c>
      <c r="B99" s="34">
        <v>86</v>
      </c>
      <c r="C99" s="34">
        <f t="shared" si="28"/>
        <v>0</v>
      </c>
      <c r="D99" s="30" t="str">
        <f>IF(A99=0,"",IF('Metric Data'!AG88&gt;=1, INDEX(Metric_Incremental[], MATCH('Metric Data'!AG88, Metric_Incremental[Height], 1), MATCH('Cumulative Volumes Metric'!$F$4, Metric_Incremental[#Headers], 0)), 0))</f>
        <v/>
      </c>
      <c r="E99" s="80" t="str">
        <f>IF(A99=0,"",IF('Metric Data'!AG88&gt;=1, INDEX(Metric_Incremental[], MATCH('Metric Data'!AG88, Metric_Incremental[Height], 1), MATCH('Cumulative Volumes Metric'!$F$4 &amp; "EC", Metric_Incremental[#Headers], 0)), 0))</f>
        <v/>
      </c>
      <c r="F99" s="30" t="str">
        <f t="shared" si="29"/>
        <v/>
      </c>
      <c r="G99" s="30" t="str">
        <f t="shared" si="30"/>
        <v/>
      </c>
      <c r="H99" s="30" t="str">
        <f>IF(A99=0,"",IF('Cumulative Volumes Metric'!$AR$17=FALSE,J99,I99))</f>
        <v/>
      </c>
      <c r="I99" s="30" t="str">
        <f t="shared" si="31"/>
        <v/>
      </c>
      <c r="J99" s="30" t="str">
        <f t="shared" si="32"/>
        <v/>
      </c>
      <c r="K99" s="30" t="str">
        <f>IF(A99=0,"",IF('Cumulative Volumes Metric'!$AR$17=FALSE,M99,L99))</f>
        <v/>
      </c>
      <c r="L99" s="30" t="str">
        <f t="shared" si="33"/>
        <v/>
      </c>
      <c r="M99" s="30" t="str">
        <f t="shared" si="34"/>
        <v/>
      </c>
      <c r="N99" s="30" t="str">
        <f>IF(($E$8/25.4)+45+($E$9/25.4)&gt;989,"FALSE",IF(A99="","",IF('Cumulative Volumes Metric'!$AR$17=FALSE,P99,O99)))</f>
        <v/>
      </c>
      <c r="O99" s="30" t="str">
        <f t="shared" si="35"/>
        <v/>
      </c>
      <c r="P99" s="30" t="str">
        <f>IF(A99=0,"",IF('Cumulative Volumes Metric'!$AR$17=FALSE,(U99*$E$4)+(V99*$E$5),O99))</f>
        <v/>
      </c>
      <c r="Q99" s="30" t="str">
        <f>IF(A99=0,"",(((25.4/1000)*'Metric Data'!$AC$4*'Metric Data'!$AC$5)-D99)*($E$6/100))</f>
        <v/>
      </c>
      <c r="R99" s="30" t="str">
        <f t="shared" si="36"/>
        <v/>
      </c>
      <c r="S99" s="30" t="str">
        <f>IF(A99=0,"",(((25.4/1000)*'Metric Data'!$AC$5*'Metric Data'!$AC$7)-E99)*($E$6/100))</f>
        <v/>
      </c>
      <c r="T99" s="30" t="str">
        <f t="shared" si="37"/>
        <v/>
      </c>
      <c r="U99" s="30" t="str">
        <f t="shared" si="38"/>
        <v/>
      </c>
      <c r="V99" s="30" t="str">
        <f t="shared" si="39"/>
        <v/>
      </c>
      <c r="W99" s="30" t="str">
        <f t="shared" si="40"/>
        <v/>
      </c>
    </row>
    <row r="100" spans="1:23" x14ac:dyDescent="0.2">
      <c r="A100" s="34">
        <f t="shared" si="25"/>
        <v>0</v>
      </c>
      <c r="B100" s="34">
        <v>87</v>
      </c>
      <c r="C100" s="34">
        <f t="shared" si="28"/>
        <v>0</v>
      </c>
      <c r="D100" s="30" t="str">
        <f>IF(A100=0,"",IF('Metric Data'!AG89&gt;=1, INDEX(Metric_Incremental[], MATCH('Metric Data'!AG89, Metric_Incremental[Height], 1), MATCH('Cumulative Volumes Metric'!$F$4, Metric_Incremental[#Headers], 0)), 0))</f>
        <v/>
      </c>
      <c r="E100" s="80" t="str">
        <f>IF(A100=0,"",IF('Metric Data'!AG89&gt;=1, INDEX(Metric_Incremental[], MATCH('Metric Data'!AG89, Metric_Incremental[Height], 1), MATCH('Cumulative Volumes Metric'!$F$4 &amp; "EC", Metric_Incremental[#Headers], 0)), 0))</f>
        <v/>
      </c>
      <c r="F100" s="30" t="str">
        <f t="shared" si="29"/>
        <v/>
      </c>
      <c r="G100" s="30" t="str">
        <f t="shared" si="30"/>
        <v/>
      </c>
      <c r="H100" s="30" t="str">
        <f>IF(A100=0,"",IF('Cumulative Volumes Metric'!$AR$17=FALSE,J100,I100))</f>
        <v/>
      </c>
      <c r="I100" s="30" t="str">
        <f t="shared" si="31"/>
        <v/>
      </c>
      <c r="J100" s="30" t="str">
        <f t="shared" si="32"/>
        <v/>
      </c>
      <c r="K100" s="30" t="str">
        <f>IF(A100=0,"",IF('Cumulative Volumes Metric'!$AR$17=FALSE,M100,L100))</f>
        <v/>
      </c>
      <c r="L100" s="30" t="str">
        <f t="shared" si="33"/>
        <v/>
      </c>
      <c r="M100" s="30" t="str">
        <f t="shared" si="34"/>
        <v/>
      </c>
      <c r="N100" s="30" t="str">
        <f>IF(($E$8/25.4)+45+($E$9/25.4)&gt;989,"FALSE",IF(A100="","",IF('Cumulative Volumes Metric'!$AR$17=FALSE,P100,O100)))</f>
        <v/>
      </c>
      <c r="O100" s="30" t="str">
        <f t="shared" si="35"/>
        <v/>
      </c>
      <c r="P100" s="30" t="str">
        <f>IF(A100=0,"",IF('Cumulative Volumes Metric'!$AR$17=FALSE,(U100*$E$4)+(V100*$E$5),O100))</f>
        <v/>
      </c>
      <c r="Q100" s="30" t="str">
        <f>IF(A100=0,"",(((25.4/1000)*'Metric Data'!$AC$4*'Metric Data'!$AC$5)-D100)*($E$6/100))</f>
        <v/>
      </c>
      <c r="R100" s="30" t="str">
        <f t="shared" si="36"/>
        <v/>
      </c>
      <c r="S100" s="30" t="str">
        <f>IF(A100=0,"",(((25.4/1000)*'Metric Data'!$AC$5*'Metric Data'!$AC$7)-E100)*($E$6/100))</f>
        <v/>
      </c>
      <c r="T100" s="30" t="str">
        <f t="shared" si="37"/>
        <v/>
      </c>
      <c r="U100" s="30" t="str">
        <f t="shared" si="38"/>
        <v/>
      </c>
      <c r="V100" s="30" t="str">
        <f t="shared" si="39"/>
        <v/>
      </c>
      <c r="W100" s="30" t="str">
        <f t="shared" si="40"/>
        <v/>
      </c>
    </row>
    <row r="101" spans="1:23" x14ac:dyDescent="0.2">
      <c r="A101" s="34">
        <f t="shared" si="25"/>
        <v>0</v>
      </c>
      <c r="B101" s="34">
        <v>88</v>
      </c>
      <c r="C101" s="34">
        <f t="shared" si="28"/>
        <v>0</v>
      </c>
      <c r="D101" s="30" t="str">
        <f>IF(A101=0,"",IF('Metric Data'!AG90&gt;=1, INDEX(Metric_Incremental[], MATCH('Metric Data'!AG90, Metric_Incremental[Height], 1), MATCH('Cumulative Volumes Metric'!$F$4, Metric_Incremental[#Headers], 0)), 0))</f>
        <v/>
      </c>
      <c r="E101" s="80" t="str">
        <f>IF(A101=0,"",IF('Metric Data'!AG90&gt;=1, INDEX(Metric_Incremental[], MATCH('Metric Data'!AG90, Metric_Incremental[Height], 1), MATCH('Cumulative Volumes Metric'!$F$4 &amp; "EC", Metric_Incremental[#Headers], 0)), 0))</f>
        <v/>
      </c>
      <c r="F101" s="30" t="str">
        <f t="shared" si="29"/>
        <v/>
      </c>
      <c r="G101" s="30" t="str">
        <f t="shared" si="30"/>
        <v/>
      </c>
      <c r="H101" s="30" t="str">
        <f>IF(A101=0,"",IF('Cumulative Volumes Metric'!$AR$17=FALSE,J101,I101))</f>
        <v/>
      </c>
      <c r="I101" s="30" t="str">
        <f t="shared" si="31"/>
        <v/>
      </c>
      <c r="J101" s="30" t="str">
        <f t="shared" si="32"/>
        <v/>
      </c>
      <c r="K101" s="30" t="str">
        <f>IF(A101=0,"",IF('Cumulative Volumes Metric'!$AR$17=FALSE,M101,L101))</f>
        <v/>
      </c>
      <c r="L101" s="30" t="str">
        <f t="shared" si="33"/>
        <v/>
      </c>
      <c r="M101" s="30" t="str">
        <f t="shared" si="34"/>
        <v/>
      </c>
      <c r="N101" s="30" t="str">
        <f>IF(($E$8/25.4)+45+($E$9/25.4)&gt;989,"FALSE",IF(A101="","",IF('Cumulative Volumes Metric'!$AR$17=FALSE,P101,O101)))</f>
        <v/>
      </c>
      <c r="O101" s="30" t="str">
        <f t="shared" si="35"/>
        <v/>
      </c>
      <c r="P101" s="30" t="str">
        <f>IF(A101=0,"",IF('Cumulative Volumes Metric'!$AR$17=FALSE,(U101*$E$4)+(V101*$E$5),O101))</f>
        <v/>
      </c>
      <c r="Q101" s="30" t="str">
        <f>IF(A101=0,"",(((25.4/1000)*'Metric Data'!$AC$4*'Metric Data'!$AC$5)-D101)*($E$6/100))</f>
        <v/>
      </c>
      <c r="R101" s="30" t="str">
        <f t="shared" si="36"/>
        <v/>
      </c>
      <c r="S101" s="30" t="str">
        <f>IF(A101=0,"",(((25.4/1000)*'Metric Data'!$AC$5*'Metric Data'!$AC$7)-E101)*($E$6/100))</f>
        <v/>
      </c>
      <c r="T101" s="30" t="str">
        <f t="shared" si="37"/>
        <v/>
      </c>
      <c r="U101" s="30" t="str">
        <f t="shared" si="38"/>
        <v/>
      </c>
      <c r="V101" s="30" t="str">
        <f t="shared" si="39"/>
        <v/>
      </c>
      <c r="W101" s="30" t="str">
        <f t="shared" si="40"/>
        <v/>
      </c>
    </row>
    <row r="102" spans="1:23" x14ac:dyDescent="0.2">
      <c r="A102" s="34">
        <f t="shared" si="25"/>
        <v>0</v>
      </c>
      <c r="B102" s="34">
        <v>89</v>
      </c>
      <c r="C102" s="34">
        <f t="shared" si="28"/>
        <v>0</v>
      </c>
      <c r="D102" s="30" t="str">
        <f>IF(A102=0,"",IF('Metric Data'!AG91&gt;=1, INDEX(Metric_Incremental[], MATCH('Metric Data'!AG91, Metric_Incremental[Height], 1), MATCH('Cumulative Volumes Metric'!$F$4, Metric_Incremental[#Headers], 0)), 0))</f>
        <v/>
      </c>
      <c r="E102" s="80" t="str">
        <f>IF(A102=0,"",IF('Metric Data'!AG91&gt;=1, INDEX(Metric_Incremental[], MATCH('Metric Data'!AG91, Metric_Incremental[Height], 1), MATCH('Cumulative Volumes Metric'!$F$4 &amp; "EC", Metric_Incremental[#Headers], 0)), 0))</f>
        <v/>
      </c>
      <c r="F102" s="30" t="str">
        <f t="shared" si="29"/>
        <v/>
      </c>
      <c r="G102" s="30" t="str">
        <f t="shared" si="30"/>
        <v/>
      </c>
      <c r="H102" s="30" t="str">
        <f>IF(A102=0,"",IF('Cumulative Volumes Metric'!$AR$17=FALSE,J102,I102))</f>
        <v/>
      </c>
      <c r="I102" s="30" t="str">
        <f t="shared" si="31"/>
        <v/>
      </c>
      <c r="J102" s="30" t="str">
        <f t="shared" si="32"/>
        <v/>
      </c>
      <c r="K102" s="30" t="str">
        <f>IF(A102=0,"",IF('Cumulative Volumes Metric'!$AR$17=FALSE,M102,L102))</f>
        <v/>
      </c>
      <c r="L102" s="30" t="str">
        <f t="shared" si="33"/>
        <v/>
      </c>
      <c r="M102" s="30" t="str">
        <f t="shared" si="34"/>
        <v/>
      </c>
      <c r="N102" s="30" t="str">
        <f>IF(($E$8/25.4)+45+($E$9/25.4)&gt;989,"FALSE",IF(A102="","",IF('Cumulative Volumes Metric'!$AR$17=FALSE,P102,O102)))</f>
        <v/>
      </c>
      <c r="O102" s="30" t="str">
        <f t="shared" si="35"/>
        <v/>
      </c>
      <c r="P102" s="30" t="str">
        <f>IF(A102=0,"",IF('Cumulative Volumes Metric'!$AR$17=FALSE,(U102*$E$4)+(V102*$E$5),O102))</f>
        <v/>
      </c>
      <c r="Q102" s="30" t="str">
        <f>IF(A102=0,"",(((25.4/1000)*'Metric Data'!$AC$4*'Metric Data'!$AC$5)-D102)*($E$6/100))</f>
        <v/>
      </c>
      <c r="R102" s="30" t="str">
        <f t="shared" si="36"/>
        <v/>
      </c>
      <c r="S102" s="30" t="str">
        <f>IF(A102=0,"",(((25.4/1000)*'Metric Data'!$AC$5*'Metric Data'!$AC$7)-E102)*($E$6/100))</f>
        <v/>
      </c>
      <c r="T102" s="30" t="str">
        <f t="shared" si="37"/>
        <v/>
      </c>
      <c r="U102" s="30" t="str">
        <f t="shared" si="38"/>
        <v/>
      </c>
      <c r="V102" s="30" t="str">
        <f t="shared" si="39"/>
        <v/>
      </c>
      <c r="W102" s="30" t="str">
        <f t="shared" si="40"/>
        <v/>
      </c>
    </row>
    <row r="103" spans="1:23" x14ac:dyDescent="0.2">
      <c r="A103" s="34">
        <f t="shared" si="25"/>
        <v>0</v>
      </c>
      <c r="B103" s="34">
        <v>90</v>
      </c>
      <c r="C103" s="34">
        <f t="shared" si="28"/>
        <v>0</v>
      </c>
      <c r="D103" s="30" t="str">
        <f>IF(A103=0,"",IF('Metric Data'!AG92&gt;=1, INDEX(Metric_Incremental[], MATCH('Metric Data'!AG92, Metric_Incremental[Height], 1), MATCH('Cumulative Volumes Metric'!$F$4, Metric_Incremental[#Headers], 0)), 0))</f>
        <v/>
      </c>
      <c r="E103" s="80" t="str">
        <f>IF(A103=0,"",IF('Metric Data'!AG92&gt;=1, INDEX(Metric_Incremental[], MATCH('Metric Data'!AG92, Metric_Incremental[Height], 1), MATCH('Cumulative Volumes Metric'!$F$4 &amp; "EC", Metric_Incremental[#Headers], 0)), 0))</f>
        <v/>
      </c>
      <c r="F103" s="30" t="str">
        <f t="shared" si="29"/>
        <v/>
      </c>
      <c r="G103" s="30" t="str">
        <f t="shared" si="30"/>
        <v/>
      </c>
      <c r="H103" s="30" t="str">
        <f>IF(A103=0,"",IF('Cumulative Volumes Metric'!$AR$17=FALSE,J103,I103))</f>
        <v/>
      </c>
      <c r="I103" s="30" t="str">
        <f t="shared" si="31"/>
        <v/>
      </c>
      <c r="J103" s="30" t="str">
        <f t="shared" si="32"/>
        <v/>
      </c>
      <c r="K103" s="30" t="str">
        <f>IF(A103=0,"",IF('Cumulative Volumes Metric'!$AR$17=FALSE,M103,L103))</f>
        <v/>
      </c>
      <c r="L103" s="30" t="str">
        <f t="shared" si="33"/>
        <v/>
      </c>
      <c r="M103" s="30" t="str">
        <f t="shared" si="34"/>
        <v/>
      </c>
      <c r="N103" s="30" t="str">
        <f>IF(($E$8/25.4)+45+($E$9/25.4)&gt;989,"FALSE",IF(A103="","",IF('Cumulative Volumes Metric'!$AR$17=FALSE,P103,O103)))</f>
        <v/>
      </c>
      <c r="O103" s="30" t="str">
        <f t="shared" si="35"/>
        <v/>
      </c>
      <c r="P103" s="30" t="str">
        <f>IF(A103=0,"",IF('Cumulative Volumes Metric'!$AR$17=FALSE,(U103*$E$4)+(V103*$E$5),O103))</f>
        <v/>
      </c>
      <c r="Q103" s="30" t="str">
        <f>IF(A103=0,"",(((25.4/1000)*'Metric Data'!$AC$4*'Metric Data'!$AC$5)-D103)*($E$6/100))</f>
        <v/>
      </c>
      <c r="R103" s="30" t="str">
        <f t="shared" si="36"/>
        <v/>
      </c>
      <c r="S103" s="30" t="str">
        <f>IF(A103=0,"",(((25.4/1000)*'Metric Data'!$AC$5*'Metric Data'!$AC$7)-E103)*($E$6/100))</f>
        <v/>
      </c>
      <c r="T103" s="30" t="str">
        <f t="shared" si="37"/>
        <v/>
      </c>
      <c r="U103" s="30" t="str">
        <f t="shared" si="38"/>
        <v/>
      </c>
      <c r="V103" s="30" t="str">
        <f t="shared" si="39"/>
        <v/>
      </c>
      <c r="W103" s="30" t="str">
        <f t="shared" si="40"/>
        <v/>
      </c>
    </row>
    <row r="104" spans="1:23" x14ac:dyDescent="0.2">
      <c r="A104" s="34">
        <f t="shared" si="25"/>
        <v>0</v>
      </c>
      <c r="B104" s="34">
        <v>91</v>
      </c>
      <c r="C104" s="34">
        <f t="shared" si="28"/>
        <v>0</v>
      </c>
      <c r="D104" s="30" t="str">
        <f>IF(A104=0,"",IF('Metric Data'!AG93&gt;=1, INDEX(Metric_Incremental[], MATCH('Metric Data'!AG93, Metric_Incremental[Height], 1), MATCH('Cumulative Volumes Metric'!$F$4, Metric_Incremental[#Headers], 0)), 0))</f>
        <v/>
      </c>
      <c r="E104" s="80" t="str">
        <f>IF(A104=0,"",IF('Metric Data'!AG93&gt;=1, INDEX(Metric_Incremental[], MATCH('Metric Data'!AG93, Metric_Incremental[Height], 1), MATCH('Cumulative Volumes Metric'!$F$4 &amp; "EC", Metric_Incremental[#Headers], 0)), 0))</f>
        <v/>
      </c>
      <c r="F104" s="30" t="str">
        <f t="shared" si="29"/>
        <v/>
      </c>
      <c r="G104" s="30" t="str">
        <f t="shared" si="30"/>
        <v/>
      </c>
      <c r="H104" s="30" t="str">
        <f>IF(A104=0,"",IF('Cumulative Volumes Metric'!$AR$17=FALSE,J104,I104))</f>
        <v/>
      </c>
      <c r="I104" s="30" t="str">
        <f t="shared" si="31"/>
        <v/>
      </c>
      <c r="J104" s="30" t="str">
        <f t="shared" si="32"/>
        <v/>
      </c>
      <c r="K104" s="30" t="str">
        <f>IF(A104=0,"",IF('Cumulative Volumes Metric'!$AR$17=FALSE,M104,L104))</f>
        <v/>
      </c>
      <c r="L104" s="30" t="str">
        <f t="shared" si="33"/>
        <v/>
      </c>
      <c r="M104" s="30" t="str">
        <f t="shared" si="34"/>
        <v/>
      </c>
      <c r="N104" s="30" t="str">
        <f>IF(($E$8/25.4)+45+($E$9/25.4)&gt;989,"FALSE",IF(A104="","",IF('Cumulative Volumes Metric'!$AR$17=FALSE,P104,O104)))</f>
        <v/>
      </c>
      <c r="O104" s="30" t="str">
        <f t="shared" si="35"/>
        <v/>
      </c>
      <c r="P104" s="30" t="str">
        <f>IF(A104=0,"",IF('Cumulative Volumes Metric'!$AR$17=FALSE,(U104*$E$4)+(V104*$E$5),O104))</f>
        <v/>
      </c>
      <c r="Q104" s="30" t="str">
        <f>IF(A104=0,"",(((25.4/1000)*'Metric Data'!$AC$4*'Metric Data'!$AC$5)-D104)*($E$6/100))</f>
        <v/>
      </c>
      <c r="R104" s="30" t="str">
        <f t="shared" si="36"/>
        <v/>
      </c>
      <c r="S104" s="30" t="str">
        <f>IF(A104=0,"",(((25.4/1000)*'Metric Data'!$AC$5*'Metric Data'!$AC$7)-E104)*($E$6/100))</f>
        <v/>
      </c>
      <c r="T104" s="30" t="str">
        <f t="shared" si="37"/>
        <v/>
      </c>
      <c r="U104" s="30" t="str">
        <f t="shared" si="38"/>
        <v/>
      </c>
      <c r="V104" s="30" t="str">
        <f t="shared" si="39"/>
        <v/>
      </c>
      <c r="W104" s="30" t="str">
        <f t="shared" si="40"/>
        <v/>
      </c>
    </row>
    <row r="105" spans="1:23" x14ac:dyDescent="0.2">
      <c r="A105" s="34">
        <f t="shared" si="25"/>
        <v>0</v>
      </c>
      <c r="B105" s="34">
        <v>92</v>
      </c>
      <c r="C105" s="34">
        <f t="shared" si="28"/>
        <v>0</v>
      </c>
      <c r="D105" s="30" t="str">
        <f>IF(A105=0,"",IF('Metric Data'!AG94&gt;=1, INDEX(Metric_Incremental[], MATCH('Metric Data'!AG94, Metric_Incremental[Height], 1), MATCH('Cumulative Volumes Metric'!$F$4, Metric_Incremental[#Headers], 0)), 0))</f>
        <v/>
      </c>
      <c r="E105" s="80" t="str">
        <f>IF(A105=0,"",IF('Metric Data'!AG94&gt;=1, INDEX(Metric_Incremental[], MATCH('Metric Data'!AG94, Metric_Incremental[Height], 1), MATCH('Cumulative Volumes Metric'!$F$4 &amp; "EC", Metric_Incremental[#Headers], 0)), 0))</f>
        <v/>
      </c>
      <c r="F105" s="30" t="str">
        <f t="shared" si="29"/>
        <v/>
      </c>
      <c r="G105" s="30" t="str">
        <f t="shared" si="30"/>
        <v/>
      </c>
      <c r="H105" s="30" t="str">
        <f>IF(A105=0,"",IF('Cumulative Volumes Metric'!$AR$17=FALSE,J105,I105))</f>
        <v/>
      </c>
      <c r="I105" s="30" t="str">
        <f t="shared" si="31"/>
        <v/>
      </c>
      <c r="J105" s="30" t="str">
        <f t="shared" si="32"/>
        <v/>
      </c>
      <c r="K105" s="30" t="str">
        <f>IF(A105=0,"",IF('Cumulative Volumes Metric'!$AR$17=FALSE,M105,L105))</f>
        <v/>
      </c>
      <c r="L105" s="30" t="str">
        <f t="shared" si="33"/>
        <v/>
      </c>
      <c r="M105" s="30" t="str">
        <f t="shared" si="34"/>
        <v/>
      </c>
      <c r="N105" s="30" t="str">
        <f>IF(($E$8/25.4)+45+($E$9/25.4)&gt;989,"FALSE",IF(A105="","",IF('Cumulative Volumes Metric'!$AR$17=FALSE,P105,O105)))</f>
        <v/>
      </c>
      <c r="O105" s="30" t="str">
        <f t="shared" si="35"/>
        <v/>
      </c>
      <c r="P105" s="30" t="str">
        <f>IF(A105=0,"",IF('Cumulative Volumes Metric'!$AR$17=FALSE,(U105*$E$4)+(V105*$E$5),O105))</f>
        <v/>
      </c>
      <c r="Q105" s="30" t="str">
        <f>IF(A105=0,"",(((25.4/1000)*'Metric Data'!$AC$4*'Metric Data'!$AC$5)-D105)*($E$6/100))</f>
        <v/>
      </c>
      <c r="R105" s="30" t="str">
        <f t="shared" si="36"/>
        <v/>
      </c>
      <c r="S105" s="30" t="str">
        <f>IF(A105=0,"",(((25.4/1000)*'Metric Data'!$AC$5*'Metric Data'!$AC$7)-E105)*($E$6/100))</f>
        <v/>
      </c>
      <c r="T105" s="30" t="str">
        <f t="shared" si="37"/>
        <v/>
      </c>
      <c r="U105" s="30" t="str">
        <f t="shared" si="38"/>
        <v/>
      </c>
      <c r="V105" s="30" t="str">
        <f t="shared" si="39"/>
        <v/>
      </c>
      <c r="W105" s="30" t="str">
        <f t="shared" si="40"/>
        <v/>
      </c>
    </row>
    <row r="106" spans="1:23" x14ac:dyDescent="0.2">
      <c r="A106" s="34">
        <f t="shared" si="25"/>
        <v>0</v>
      </c>
      <c r="B106" s="34">
        <v>93</v>
      </c>
      <c r="C106" s="34">
        <f t="shared" si="28"/>
        <v>0</v>
      </c>
      <c r="D106" s="30" t="str">
        <f>IF(A106=0,"",IF('Metric Data'!AG95&gt;=1, INDEX(Metric_Incremental[], MATCH('Metric Data'!AG95, Metric_Incremental[Height], 1), MATCH('Cumulative Volumes Metric'!$F$4, Metric_Incremental[#Headers], 0)), 0))</f>
        <v/>
      </c>
      <c r="E106" s="80" t="str">
        <f>IF(A106=0,"",IF('Metric Data'!AG95&gt;=1, INDEX(Metric_Incremental[], MATCH('Metric Data'!AG95, Metric_Incremental[Height], 1), MATCH('Cumulative Volumes Metric'!$F$4 &amp; "EC", Metric_Incremental[#Headers], 0)), 0))</f>
        <v/>
      </c>
      <c r="F106" s="30" t="str">
        <f t="shared" si="29"/>
        <v/>
      </c>
      <c r="G106" s="30" t="str">
        <f t="shared" si="30"/>
        <v/>
      </c>
      <c r="H106" s="30" t="str">
        <f>IF(A106=0,"",IF('Cumulative Volumes Metric'!$AR$17=FALSE,J106,I106))</f>
        <v/>
      </c>
      <c r="I106" s="30" t="str">
        <f t="shared" si="31"/>
        <v/>
      </c>
      <c r="J106" s="30" t="str">
        <f t="shared" si="32"/>
        <v/>
      </c>
      <c r="K106" s="30" t="str">
        <f>IF(A106=0,"",IF('Cumulative Volumes Metric'!$AR$17=FALSE,M106,L106))</f>
        <v/>
      </c>
      <c r="L106" s="30" t="str">
        <f t="shared" si="33"/>
        <v/>
      </c>
      <c r="M106" s="30" t="str">
        <f t="shared" si="34"/>
        <v/>
      </c>
      <c r="N106" s="30" t="str">
        <f>IF(($E$8/25.4)+45+($E$9/25.4)&gt;989,"FALSE",IF(A106="","",IF('Cumulative Volumes Metric'!$AR$17=FALSE,P106,O106)))</f>
        <v/>
      </c>
      <c r="O106" s="30" t="str">
        <f t="shared" si="35"/>
        <v/>
      </c>
      <c r="P106" s="30" t="str">
        <f>IF(A106=0,"",IF('Cumulative Volumes Metric'!$AR$17=FALSE,(U106*$E$4)+(V106*$E$5),O106))</f>
        <v/>
      </c>
      <c r="Q106" s="30" t="str">
        <f>IF(A106=0,"",(((25.4/1000)*'Metric Data'!$AC$4*'Metric Data'!$AC$5)-D106)*($E$6/100))</f>
        <v/>
      </c>
      <c r="R106" s="30" t="str">
        <f t="shared" si="36"/>
        <v/>
      </c>
      <c r="S106" s="30" t="str">
        <f>IF(A106=0,"",(((25.4/1000)*'Metric Data'!$AC$5*'Metric Data'!$AC$7)-E106)*($E$6/100))</f>
        <v/>
      </c>
      <c r="T106" s="30" t="str">
        <f t="shared" si="37"/>
        <v/>
      </c>
      <c r="U106" s="30" t="str">
        <f t="shared" si="38"/>
        <v/>
      </c>
      <c r="V106" s="30" t="str">
        <f t="shared" si="39"/>
        <v/>
      </c>
      <c r="W106" s="30" t="str">
        <f t="shared" si="40"/>
        <v/>
      </c>
    </row>
    <row r="107" spans="1:23" x14ac:dyDescent="0.2">
      <c r="A107" s="34">
        <f t="shared" si="25"/>
        <v>0</v>
      </c>
      <c r="B107" s="34">
        <v>94</v>
      </c>
      <c r="C107" s="34">
        <f t="shared" si="28"/>
        <v>0</v>
      </c>
      <c r="D107" s="30" t="str">
        <f>IF(A107=0,"",IF('Metric Data'!AG96&gt;=1, INDEX(Metric_Incremental[], MATCH('Metric Data'!AG96, Metric_Incremental[Height], 1), MATCH('Cumulative Volumes Metric'!$F$4, Metric_Incremental[#Headers], 0)), 0))</f>
        <v/>
      </c>
      <c r="E107" s="80" t="str">
        <f>IF(A107=0,"",IF('Metric Data'!AG96&gt;=1, INDEX(Metric_Incremental[], MATCH('Metric Data'!AG96, Metric_Incremental[Height], 1), MATCH('Cumulative Volumes Metric'!$F$4 &amp; "EC", Metric_Incremental[#Headers], 0)), 0))</f>
        <v/>
      </c>
      <c r="F107" s="30" t="str">
        <f t="shared" si="29"/>
        <v/>
      </c>
      <c r="G107" s="30" t="str">
        <f t="shared" si="30"/>
        <v/>
      </c>
      <c r="H107" s="30" t="str">
        <f>IF(A107=0,"",IF('Cumulative Volumes Metric'!$AR$17=FALSE,J107,I107))</f>
        <v/>
      </c>
      <c r="I107" s="30" t="str">
        <f t="shared" si="31"/>
        <v/>
      </c>
      <c r="J107" s="30" t="str">
        <f t="shared" si="32"/>
        <v/>
      </c>
      <c r="K107" s="30" t="str">
        <f>IF(A107=0,"",IF('Cumulative Volumes Metric'!$AR$17=FALSE,M107,L107))</f>
        <v/>
      </c>
      <c r="L107" s="30" t="str">
        <f t="shared" si="33"/>
        <v/>
      </c>
      <c r="M107" s="30" t="str">
        <f t="shared" si="34"/>
        <v/>
      </c>
      <c r="N107" s="30" t="str">
        <f>IF(($E$8/25.4)+45+($E$9/25.4)&gt;989,"FALSE",IF(A107="","",IF('Cumulative Volumes Metric'!$AR$17=FALSE,P107,O107)))</f>
        <v/>
      </c>
      <c r="O107" s="30" t="str">
        <f t="shared" si="35"/>
        <v/>
      </c>
      <c r="P107" s="30" t="str">
        <f>IF(A107=0,"",IF('Cumulative Volumes Metric'!$AR$17=FALSE,(U107*$E$4)+(V107*$E$5),O107))</f>
        <v/>
      </c>
      <c r="Q107" s="30" t="str">
        <f>IF(A107=0,"",(((25.4/1000)*'Metric Data'!$AC$4*'Metric Data'!$AC$5)-D107)*($E$6/100))</f>
        <v/>
      </c>
      <c r="R107" s="30" t="str">
        <f t="shared" si="36"/>
        <v/>
      </c>
      <c r="S107" s="30" t="str">
        <f>IF(A107=0,"",(((25.4/1000)*'Metric Data'!$AC$5*'Metric Data'!$AC$7)-E107)*($E$6/100))</f>
        <v/>
      </c>
      <c r="T107" s="30" t="str">
        <f t="shared" si="37"/>
        <v/>
      </c>
      <c r="U107" s="30" t="str">
        <f t="shared" si="38"/>
        <v/>
      </c>
      <c r="V107" s="30" t="str">
        <f t="shared" si="39"/>
        <v/>
      </c>
      <c r="W107" s="30" t="str">
        <f t="shared" si="40"/>
        <v/>
      </c>
    </row>
    <row r="108" spans="1:23" x14ac:dyDescent="0.2">
      <c r="A108" s="34">
        <f t="shared" si="25"/>
        <v>0</v>
      </c>
      <c r="B108" s="34">
        <v>95</v>
      </c>
      <c r="C108" s="34">
        <f t="shared" si="28"/>
        <v>0</v>
      </c>
      <c r="D108" s="30" t="str">
        <f>IF(A108=0,"",IF('Metric Data'!AG97&gt;=1, INDEX(Metric_Incremental[], MATCH('Metric Data'!AG97, Metric_Incremental[Height], 1), MATCH('Cumulative Volumes Metric'!$F$4, Metric_Incremental[#Headers], 0)), 0))</f>
        <v/>
      </c>
      <c r="E108" s="80" t="str">
        <f>IF(A108=0,"",IF('Metric Data'!AG97&gt;=1, INDEX(Metric_Incremental[], MATCH('Metric Data'!AG97, Metric_Incremental[Height], 1), MATCH('Cumulative Volumes Metric'!$F$4 &amp; "EC", Metric_Incremental[#Headers], 0)), 0))</f>
        <v/>
      </c>
      <c r="F108" s="30" t="str">
        <f t="shared" si="29"/>
        <v/>
      </c>
      <c r="G108" s="30" t="str">
        <f t="shared" si="30"/>
        <v/>
      </c>
      <c r="H108" s="30" t="str">
        <f>IF(A108=0,"",IF('Cumulative Volumes Metric'!$AR$17=FALSE,J108,I108))</f>
        <v/>
      </c>
      <c r="I108" s="30" t="str">
        <f t="shared" si="31"/>
        <v/>
      </c>
      <c r="J108" s="30" t="str">
        <f t="shared" si="32"/>
        <v/>
      </c>
      <c r="K108" s="30" t="str">
        <f>IF(A108=0,"",IF('Cumulative Volumes Metric'!$AR$17=FALSE,M108,L108))</f>
        <v/>
      </c>
      <c r="L108" s="30" t="str">
        <f t="shared" si="33"/>
        <v/>
      </c>
      <c r="M108" s="30" t="str">
        <f t="shared" si="34"/>
        <v/>
      </c>
      <c r="N108" s="30" t="str">
        <f>IF(($E$8/25.4)+45+($E$9/25.4)&gt;989,"FALSE",IF(A108="","",IF('Cumulative Volumes Metric'!$AR$17=FALSE,P108,O108)))</f>
        <v/>
      </c>
      <c r="O108" s="30" t="str">
        <f t="shared" si="35"/>
        <v/>
      </c>
      <c r="P108" s="30" t="str">
        <f>IF(A108=0,"",IF('Cumulative Volumes Metric'!$AR$17=FALSE,(U108*$E$4)+(V108*$E$5),O108))</f>
        <v/>
      </c>
      <c r="Q108" s="30" t="str">
        <f>IF(A108=0,"",(((25.4/1000)*'Metric Data'!$AC$4*'Metric Data'!$AC$5)-D108)*($E$6/100))</f>
        <v/>
      </c>
      <c r="R108" s="30" t="str">
        <f t="shared" si="36"/>
        <v/>
      </c>
      <c r="S108" s="30" t="str">
        <f>IF(A108=0,"",(((25.4/1000)*'Metric Data'!$AC$5*'Metric Data'!$AC$7)-E108)*($E$6/100))</f>
        <v/>
      </c>
      <c r="T108" s="30" t="str">
        <f t="shared" si="37"/>
        <v/>
      </c>
      <c r="U108" s="30" t="str">
        <f t="shared" si="38"/>
        <v/>
      </c>
      <c r="V108" s="30" t="str">
        <f t="shared" si="39"/>
        <v/>
      </c>
      <c r="W108" s="30" t="str">
        <f t="shared" si="40"/>
        <v/>
      </c>
    </row>
    <row r="109" spans="1:23" x14ac:dyDescent="0.2">
      <c r="A109" s="34">
        <f t="shared" si="25"/>
        <v>0</v>
      </c>
      <c r="B109" s="34">
        <v>96</v>
      </c>
      <c r="C109" s="34">
        <f t="shared" si="28"/>
        <v>0</v>
      </c>
      <c r="D109" s="30" t="str">
        <f>IF(A109=0,"",IF('Metric Data'!AG98&gt;=1, INDEX(Metric_Incremental[], MATCH('Metric Data'!AG98, Metric_Incremental[Height], 1), MATCH('Cumulative Volumes Metric'!$F$4, Metric_Incremental[#Headers], 0)), 0))</f>
        <v/>
      </c>
      <c r="E109" s="80" t="str">
        <f>IF(A109=0,"",IF('Metric Data'!AG98&gt;=1, INDEX(Metric_Incremental[], MATCH('Metric Data'!AG98, Metric_Incremental[Height], 1), MATCH('Cumulative Volumes Metric'!$F$4 &amp; "EC", Metric_Incremental[#Headers], 0)), 0))</f>
        <v/>
      </c>
      <c r="F109" s="30" t="str">
        <f t="shared" si="29"/>
        <v/>
      </c>
      <c r="G109" s="30" t="str">
        <f t="shared" si="30"/>
        <v/>
      </c>
      <c r="H109" s="30" t="str">
        <f>IF(A109=0,"",IF('Cumulative Volumes Metric'!$AR$17=FALSE,J109,I109))</f>
        <v/>
      </c>
      <c r="I109" s="30" t="str">
        <f t="shared" si="31"/>
        <v/>
      </c>
      <c r="J109" s="30" t="str">
        <f t="shared" si="32"/>
        <v/>
      </c>
      <c r="K109" s="30" t="str">
        <f>IF(A109=0,"",IF('Cumulative Volumes Metric'!$AR$17=FALSE,M109,L109))</f>
        <v/>
      </c>
      <c r="L109" s="30" t="str">
        <f t="shared" si="33"/>
        <v/>
      </c>
      <c r="M109" s="30" t="str">
        <f t="shared" si="34"/>
        <v/>
      </c>
      <c r="N109" s="30" t="str">
        <f>IF(($E$8/25.4)+45+($E$9/25.4)&gt;989,"FALSE",IF(A109="","",IF('Cumulative Volumes Metric'!$AR$17=FALSE,P109,O109)))</f>
        <v/>
      </c>
      <c r="O109" s="30" t="str">
        <f t="shared" si="35"/>
        <v/>
      </c>
      <c r="P109" s="30" t="str">
        <f>IF(A109=0,"",IF('Cumulative Volumes Metric'!$AR$17=FALSE,(U109*$E$4)+(V109*$E$5),O109))</f>
        <v/>
      </c>
      <c r="Q109" s="30" t="str">
        <f>IF(A109=0,"",(((25.4/1000)*'Metric Data'!$AC$4*'Metric Data'!$AC$5)-D109)*($E$6/100))</f>
        <v/>
      </c>
      <c r="R109" s="30" t="str">
        <f t="shared" si="36"/>
        <v/>
      </c>
      <c r="S109" s="30" t="str">
        <f>IF(A109=0,"",(((25.4/1000)*'Metric Data'!$AC$5*'Metric Data'!$AC$7)-E109)*($E$6/100))</f>
        <v/>
      </c>
      <c r="T109" s="30" t="str">
        <f t="shared" si="37"/>
        <v/>
      </c>
      <c r="U109" s="30" t="str">
        <f t="shared" si="38"/>
        <v/>
      </c>
      <c r="V109" s="30" t="str">
        <f t="shared" si="39"/>
        <v/>
      </c>
      <c r="W109" s="30" t="str">
        <f t="shared" si="40"/>
        <v/>
      </c>
    </row>
    <row r="110" spans="1:23" x14ac:dyDescent="0.2">
      <c r="A110" s="34">
        <f t="shared" si="25"/>
        <v>0</v>
      </c>
      <c r="B110" s="34">
        <v>97</v>
      </c>
      <c r="C110" s="34">
        <f t="shared" si="28"/>
        <v>0</v>
      </c>
      <c r="D110" s="30" t="str">
        <f>IF(A110=0,"",IF('Metric Data'!AG99&gt;=1, INDEX(Metric_Incremental[], MATCH('Metric Data'!AG99, Metric_Incremental[Height], 1), MATCH('Cumulative Volumes Metric'!$F$4, Metric_Incremental[#Headers], 0)), 0))</f>
        <v/>
      </c>
      <c r="E110" s="80" t="str">
        <f>IF(A110=0,"",IF('Metric Data'!AG99&gt;=1, INDEX(Metric_Incremental[], MATCH('Metric Data'!AG99, Metric_Incremental[Height], 1), MATCH('Cumulative Volumes Metric'!$F$4 &amp; "EC", Metric_Incremental[#Headers], 0)), 0))</f>
        <v/>
      </c>
      <c r="F110" s="30" t="str">
        <f t="shared" si="29"/>
        <v/>
      </c>
      <c r="G110" s="30" t="str">
        <f t="shared" si="30"/>
        <v/>
      </c>
      <c r="H110" s="30" t="str">
        <f>IF(A110=0,"",IF('Cumulative Volumes Metric'!$AR$17=FALSE,J110,I110))</f>
        <v/>
      </c>
      <c r="I110" s="30" t="str">
        <f t="shared" si="31"/>
        <v/>
      </c>
      <c r="J110" s="30" t="str">
        <f t="shared" si="32"/>
        <v/>
      </c>
      <c r="K110" s="30" t="str">
        <f>IF(A110=0,"",IF('Cumulative Volumes Metric'!$AR$17=FALSE,M110,L110))</f>
        <v/>
      </c>
      <c r="L110" s="30" t="str">
        <f t="shared" si="33"/>
        <v/>
      </c>
      <c r="M110" s="30" t="str">
        <f t="shared" si="34"/>
        <v/>
      </c>
      <c r="N110" s="30" t="str">
        <f>IF(($E$8/25.4)+45+($E$9/25.4)&gt;989,"FALSE",IF(A110="","",IF('Cumulative Volumes Metric'!$AR$17=FALSE,P110,O110)))</f>
        <v/>
      </c>
      <c r="O110" s="30" t="str">
        <f t="shared" si="35"/>
        <v/>
      </c>
      <c r="P110" s="30" t="str">
        <f>IF(A110=0,"",IF('Cumulative Volumes Metric'!$AR$17=FALSE,(U110*$E$4)+(V110*$E$5),O110))</f>
        <v/>
      </c>
      <c r="Q110" s="30" t="str">
        <f>IF(A110=0,"",(((25.4/1000)*'Metric Data'!$AC$4*'Metric Data'!$AC$5)-D110)*($E$6/100))</f>
        <v/>
      </c>
      <c r="R110" s="30" t="str">
        <f t="shared" si="36"/>
        <v/>
      </c>
      <c r="S110" s="30" t="str">
        <f>IF(A110=0,"",(((25.4/1000)*'Metric Data'!$AC$5*'Metric Data'!$AC$7)-E110)*($E$6/100))</f>
        <v/>
      </c>
      <c r="T110" s="30" t="str">
        <f t="shared" si="37"/>
        <v/>
      </c>
      <c r="U110" s="30" t="str">
        <f t="shared" si="38"/>
        <v/>
      </c>
      <c r="V110" s="30" t="str">
        <f t="shared" si="39"/>
        <v/>
      </c>
      <c r="W110" s="30" t="str">
        <f t="shared" si="40"/>
        <v/>
      </c>
    </row>
    <row r="111" spans="1:23" x14ac:dyDescent="0.2">
      <c r="A111" s="34">
        <f t="shared" si="25"/>
        <v>0</v>
      </c>
      <c r="B111" s="34">
        <v>98</v>
      </c>
      <c r="C111" s="34">
        <f t="shared" si="28"/>
        <v>0</v>
      </c>
      <c r="D111" s="30" t="str">
        <f>IF(A111=0,"",IF('Metric Data'!AG100&gt;=1, INDEX(Metric_Incremental[], MATCH('Metric Data'!AG100, Metric_Incremental[Height], 1), MATCH('Cumulative Volumes Metric'!$F$4, Metric_Incremental[#Headers], 0)), 0))</f>
        <v/>
      </c>
      <c r="E111" s="80" t="str">
        <f>IF(A111=0,"",IF('Metric Data'!AG100&gt;=1, INDEX(Metric_Incremental[], MATCH('Metric Data'!AG100, Metric_Incremental[Height], 1), MATCH('Cumulative Volumes Metric'!$F$4 &amp; "EC", Metric_Incremental[#Headers], 0)), 0))</f>
        <v/>
      </c>
      <c r="F111" s="30" t="str">
        <f t="shared" si="29"/>
        <v/>
      </c>
      <c r="G111" s="30" t="str">
        <f t="shared" si="30"/>
        <v/>
      </c>
      <c r="H111" s="30" t="str">
        <f>IF(A111=0,"",IF('Cumulative Volumes Metric'!$AR$17=FALSE,J111,I111))</f>
        <v/>
      </c>
      <c r="I111" s="30" t="str">
        <f t="shared" si="31"/>
        <v/>
      </c>
      <c r="J111" s="30" t="str">
        <f t="shared" si="32"/>
        <v/>
      </c>
      <c r="K111" s="30" t="str">
        <f>IF(A111=0,"",IF('Cumulative Volumes Metric'!$AR$17=FALSE,M111,L111))</f>
        <v/>
      </c>
      <c r="L111" s="30" t="str">
        <f t="shared" si="33"/>
        <v/>
      </c>
      <c r="M111" s="30" t="str">
        <f t="shared" si="34"/>
        <v/>
      </c>
      <c r="N111" s="30" t="str">
        <f>IF(($E$8/25.4)+45+($E$9/25.4)&gt;989,"FALSE",IF(A111="","",IF('Cumulative Volumes Metric'!$AR$17=FALSE,P111,O111)))</f>
        <v/>
      </c>
      <c r="O111" s="30" t="str">
        <f t="shared" si="35"/>
        <v/>
      </c>
      <c r="P111" s="30" t="str">
        <f>IF(A111=0,"",IF('Cumulative Volumes Metric'!$AR$17=FALSE,(U111*$E$4)+(V111*$E$5),O111))</f>
        <v/>
      </c>
      <c r="Q111" s="30" t="str">
        <f>IF(A111=0,"",(((25.4/1000)*'Metric Data'!$AC$4*'Metric Data'!$AC$5)-D111)*($E$6/100))</f>
        <v/>
      </c>
      <c r="R111" s="30" t="str">
        <f t="shared" si="36"/>
        <v/>
      </c>
      <c r="S111" s="30" t="str">
        <f>IF(A111=0,"",(((25.4/1000)*'Metric Data'!$AC$5*'Metric Data'!$AC$7)-E111)*($E$6/100))</f>
        <v/>
      </c>
      <c r="T111" s="30" t="str">
        <f t="shared" si="37"/>
        <v/>
      </c>
      <c r="U111" s="30" t="str">
        <f t="shared" si="38"/>
        <v/>
      </c>
      <c r="V111" s="30" t="str">
        <f t="shared" si="39"/>
        <v/>
      </c>
      <c r="W111" s="30" t="str">
        <f t="shared" si="40"/>
        <v/>
      </c>
    </row>
    <row r="112" spans="1:23" x14ac:dyDescent="0.2">
      <c r="A112" s="34">
        <f t="shared" si="25"/>
        <v>0</v>
      </c>
      <c r="B112" s="34">
        <v>99</v>
      </c>
      <c r="C112" s="34">
        <f t="shared" si="28"/>
        <v>0</v>
      </c>
      <c r="D112" s="30" t="str">
        <f>IF(A112=0,"",IF('Metric Data'!AG101&gt;=1, INDEX(Metric_Incremental[], MATCH('Metric Data'!AG101, Metric_Incremental[Height], 1), MATCH('Cumulative Volumes Metric'!$F$4, Metric_Incremental[#Headers], 0)), 0))</f>
        <v/>
      </c>
      <c r="E112" s="80" t="str">
        <f>IF(A112=0,"",IF('Metric Data'!AG101&gt;=1, INDEX(Metric_Incremental[], MATCH('Metric Data'!AG101, Metric_Incremental[Height], 1), MATCH('Cumulative Volumes Metric'!$F$4 &amp; "EC", Metric_Incremental[#Headers], 0)), 0))</f>
        <v/>
      </c>
      <c r="F112" s="30" t="str">
        <f t="shared" si="29"/>
        <v/>
      </c>
      <c r="G112" s="30" t="str">
        <f t="shared" si="30"/>
        <v/>
      </c>
      <c r="H112" s="30" t="str">
        <f>IF(A112=0,"",IF('Cumulative Volumes Metric'!$AR$17=FALSE,J112,I112))</f>
        <v/>
      </c>
      <c r="I112" s="30" t="str">
        <f t="shared" si="31"/>
        <v/>
      </c>
      <c r="J112" s="30" t="str">
        <f t="shared" si="32"/>
        <v/>
      </c>
      <c r="K112" s="30" t="str">
        <f>IF(A112=0,"",IF('Cumulative Volumes Metric'!$AR$17=FALSE,M112,L112))</f>
        <v/>
      </c>
      <c r="L112" s="30" t="str">
        <f t="shared" si="33"/>
        <v/>
      </c>
      <c r="M112" s="30" t="str">
        <f t="shared" si="34"/>
        <v/>
      </c>
      <c r="N112" s="30" t="str">
        <f>IF(($E$8/25.4)+45+($E$9/25.4)&gt;989,"FALSE",IF(A112="","",IF('Cumulative Volumes Metric'!$AR$17=FALSE,P112,O112)))</f>
        <v/>
      </c>
      <c r="O112" s="30" t="str">
        <f t="shared" si="35"/>
        <v/>
      </c>
      <c r="P112" s="30" t="str">
        <f>IF(A112=0,"",IF('Cumulative Volumes Metric'!$AR$17=FALSE,(U112*$E$4)+(V112*$E$5),O112))</f>
        <v/>
      </c>
      <c r="Q112" s="30" t="str">
        <f>IF(A112=0,"",(((25.4/1000)*'Metric Data'!$AC$4*'Metric Data'!$AC$5)-D112)*($E$6/100))</f>
        <v/>
      </c>
      <c r="R112" s="30" t="str">
        <f t="shared" si="36"/>
        <v/>
      </c>
      <c r="S112" s="30" t="str">
        <f>IF(A112=0,"",(((25.4/1000)*'Metric Data'!$AC$5*'Metric Data'!$AC$7)-E112)*($E$6/100))</f>
        <v/>
      </c>
      <c r="T112" s="30" t="str">
        <f t="shared" si="37"/>
        <v/>
      </c>
      <c r="U112" s="30" t="str">
        <f t="shared" si="38"/>
        <v/>
      </c>
      <c r="V112" s="30" t="str">
        <f t="shared" si="39"/>
        <v/>
      </c>
      <c r="W112" s="30" t="str">
        <f t="shared" si="40"/>
        <v/>
      </c>
    </row>
    <row r="113" spans="1:23" x14ac:dyDescent="0.2">
      <c r="A113" s="34">
        <f t="shared" si="25"/>
        <v>0</v>
      </c>
      <c r="B113" s="34">
        <v>100</v>
      </c>
      <c r="C113" s="34">
        <f t="shared" si="28"/>
        <v>0</v>
      </c>
      <c r="D113" s="30" t="str">
        <f>IF(A113=0,"",IF('Metric Data'!AG102&gt;=1, INDEX(Metric_Incremental[], MATCH('Metric Data'!AG102, Metric_Incremental[Height], 1), MATCH('Cumulative Volumes Metric'!$F$4, Metric_Incremental[#Headers], 0)), 0))</f>
        <v/>
      </c>
      <c r="E113" s="80" t="str">
        <f>IF(A113=0,"",IF('Metric Data'!AG102&gt;=1, INDEX(Metric_Incremental[], MATCH('Metric Data'!AG102, Metric_Incremental[Height], 1), MATCH('Cumulative Volumes Metric'!$F$4 &amp; "EC", Metric_Incremental[#Headers], 0)), 0))</f>
        <v/>
      </c>
      <c r="F113" s="30" t="str">
        <f t="shared" si="29"/>
        <v/>
      </c>
      <c r="G113" s="30" t="str">
        <f t="shared" si="30"/>
        <v/>
      </c>
      <c r="H113" s="30" t="str">
        <f>IF(A113=0,"",IF('Cumulative Volumes Metric'!$AR$17=FALSE,J113,I113))</f>
        <v/>
      </c>
      <c r="I113" s="30" t="str">
        <f t="shared" si="31"/>
        <v/>
      </c>
      <c r="J113" s="30" t="str">
        <f t="shared" si="32"/>
        <v/>
      </c>
      <c r="K113" s="30" t="str">
        <f>IF(A113=0,"",IF('Cumulative Volumes Metric'!$AR$17=FALSE,M113,L113))</f>
        <v/>
      </c>
      <c r="L113" s="30" t="str">
        <f t="shared" si="33"/>
        <v/>
      </c>
      <c r="M113" s="30" t="str">
        <f t="shared" si="34"/>
        <v/>
      </c>
      <c r="N113" s="30" t="str">
        <f>IF(($E$8/25.4)+45+($E$9/25.4)&gt;989,"FALSE",IF(A113="","",IF('Cumulative Volumes Metric'!$AR$17=FALSE,P113,O113)))</f>
        <v/>
      </c>
      <c r="O113" s="30" t="str">
        <f t="shared" si="35"/>
        <v/>
      </c>
      <c r="P113" s="30" t="str">
        <f>IF(A113=0,"",IF('Cumulative Volumes Metric'!$AR$17=FALSE,(U113*$E$4)+(V113*$E$5),O113))</f>
        <v/>
      </c>
      <c r="Q113" s="30" t="str">
        <f>IF(A113=0,"",(((25.4/1000)*'Metric Data'!$AC$4*'Metric Data'!$AC$5)-D113)*($E$6/100))</f>
        <v/>
      </c>
      <c r="R113" s="30" t="str">
        <f t="shared" si="36"/>
        <v/>
      </c>
      <c r="S113" s="30" t="str">
        <f>IF(A113=0,"",(((25.4/1000)*'Metric Data'!$AC$5*'Metric Data'!$AC$7)-E113)*($E$6/100))</f>
        <v/>
      </c>
      <c r="T113" s="30" t="str">
        <f t="shared" si="37"/>
        <v/>
      </c>
      <c r="U113" s="30" t="str">
        <f t="shared" si="38"/>
        <v/>
      </c>
      <c r="V113" s="30" t="str">
        <f t="shared" si="39"/>
        <v/>
      </c>
      <c r="W113" s="30" t="str">
        <f t="shared" si="40"/>
        <v/>
      </c>
    </row>
    <row r="114" spans="1:23" x14ac:dyDescent="0.2">
      <c r="A114" s="34">
        <f t="shared" si="25"/>
        <v>0</v>
      </c>
      <c r="B114" s="34">
        <v>101</v>
      </c>
      <c r="C114" s="34">
        <f t="shared" si="28"/>
        <v>0</v>
      </c>
      <c r="D114" s="30" t="str">
        <f>IF(A114=0,"",IF('Metric Data'!AG103&gt;=1, INDEX(Metric_Incremental[], MATCH('Metric Data'!AG103, Metric_Incremental[Height], 1), MATCH('Cumulative Volumes Metric'!$F$4, Metric_Incremental[#Headers], 0)), 0))</f>
        <v/>
      </c>
      <c r="E114" s="80" t="str">
        <f>IF(A114=0,"",IF('Metric Data'!AG103&gt;=1, INDEX(Metric_Incremental[], MATCH('Metric Data'!AG103, Metric_Incremental[Height], 1), MATCH('Cumulative Volumes Metric'!$F$4 &amp; "EC", Metric_Incremental[#Headers], 0)), 0))</f>
        <v/>
      </c>
      <c r="F114" s="30" t="str">
        <f t="shared" si="29"/>
        <v/>
      </c>
      <c r="G114" s="30" t="str">
        <f t="shared" si="30"/>
        <v/>
      </c>
      <c r="H114" s="30" t="str">
        <f>IF(A114=0,"",IF('Cumulative Volumes Metric'!$AR$17=FALSE,J114,I114))</f>
        <v/>
      </c>
      <c r="I114" s="30" t="str">
        <f t="shared" si="31"/>
        <v/>
      </c>
      <c r="J114" s="30" t="str">
        <f t="shared" si="32"/>
        <v/>
      </c>
      <c r="K114" s="30" t="str">
        <f>IF(A114=0,"",IF('Cumulative Volumes Metric'!$AR$17=FALSE,M114,L114))</f>
        <v/>
      </c>
      <c r="L114" s="30" t="str">
        <f t="shared" si="33"/>
        <v/>
      </c>
      <c r="M114" s="30" t="str">
        <f t="shared" si="34"/>
        <v/>
      </c>
      <c r="N114" s="30" t="str">
        <f>IF(($E$8/25.4)+45+($E$9/25.4)&gt;989,"FALSE",IF(A114="","",IF('Cumulative Volumes Metric'!$AR$17=FALSE,P114,O114)))</f>
        <v/>
      </c>
      <c r="O114" s="30" t="str">
        <f t="shared" si="35"/>
        <v/>
      </c>
      <c r="P114" s="30" t="str">
        <f>IF(A114=0,"",IF('Cumulative Volumes Metric'!$AR$17=FALSE,(U114*$E$4)+(V114*$E$5),O114))</f>
        <v/>
      </c>
      <c r="Q114" s="30" t="str">
        <f>IF(A114=0,"",(((25.4/1000)*'Metric Data'!$AC$4*'Metric Data'!$AC$5)-D114)*($E$6/100))</f>
        <v/>
      </c>
      <c r="R114" s="30" t="str">
        <f t="shared" si="36"/>
        <v/>
      </c>
      <c r="S114" s="30" t="str">
        <f>IF(A114=0,"",(((25.4/1000)*'Metric Data'!$AC$5*'Metric Data'!$AC$7)-E114)*($E$6/100))</f>
        <v/>
      </c>
      <c r="T114" s="30" t="str">
        <f t="shared" si="37"/>
        <v/>
      </c>
      <c r="U114" s="30" t="str">
        <f t="shared" si="38"/>
        <v/>
      </c>
      <c r="V114" s="30" t="str">
        <f t="shared" si="39"/>
        <v/>
      </c>
      <c r="W114" s="30" t="str">
        <f t="shared" si="40"/>
        <v/>
      </c>
    </row>
    <row r="115" spans="1:23" x14ac:dyDescent="0.2">
      <c r="A115" s="34">
        <f t="shared" si="25"/>
        <v>0</v>
      </c>
      <c r="B115" s="34">
        <v>102</v>
      </c>
      <c r="C115" s="34">
        <f t="shared" si="28"/>
        <v>0</v>
      </c>
      <c r="D115" s="30" t="str">
        <f>IF(A115=0,"",IF('Metric Data'!AG104&gt;=1, INDEX(Metric_Incremental[], MATCH('Metric Data'!AG104, Metric_Incremental[Height], 1), MATCH('Cumulative Volumes Metric'!$F$4, Metric_Incremental[#Headers], 0)), 0))</f>
        <v/>
      </c>
      <c r="E115" s="80" t="str">
        <f>IF(A115=0,"",IF('Metric Data'!AG104&gt;=1, INDEX(Metric_Incremental[], MATCH('Metric Data'!AG104, Metric_Incremental[Height], 1), MATCH('Cumulative Volumes Metric'!$F$4 &amp; "EC", Metric_Incremental[#Headers], 0)), 0))</f>
        <v/>
      </c>
      <c r="F115" s="30" t="str">
        <f t="shared" si="29"/>
        <v/>
      </c>
      <c r="G115" s="30" t="str">
        <f t="shared" si="30"/>
        <v/>
      </c>
      <c r="H115" s="30" t="str">
        <f>IF(A115=0,"",IF('Cumulative Volumes Metric'!$AR$17=FALSE,J115,I115))</f>
        <v/>
      </c>
      <c r="I115" s="30" t="str">
        <f t="shared" si="31"/>
        <v/>
      </c>
      <c r="J115" s="30" t="str">
        <f t="shared" si="32"/>
        <v/>
      </c>
      <c r="K115" s="30" t="str">
        <f>IF(A115=0,"",IF('Cumulative Volumes Metric'!$AR$17=FALSE,M115,L115))</f>
        <v/>
      </c>
      <c r="L115" s="30" t="str">
        <f t="shared" si="33"/>
        <v/>
      </c>
      <c r="M115" s="30" t="str">
        <f t="shared" si="34"/>
        <v/>
      </c>
      <c r="N115" s="30" t="str">
        <f>IF(($E$8/25.4)+45+($E$9/25.4)&gt;989,"FALSE",IF(A115="","",IF('Cumulative Volumes Metric'!$AR$17=FALSE,P115,O115)))</f>
        <v/>
      </c>
      <c r="O115" s="30" t="str">
        <f t="shared" si="35"/>
        <v/>
      </c>
      <c r="P115" s="30" t="str">
        <f>IF(A115=0,"",IF('Cumulative Volumes Metric'!$AR$17=FALSE,(U115*$E$4)+(V115*$E$5),O115))</f>
        <v/>
      </c>
      <c r="Q115" s="30" t="str">
        <f>IF(A115=0,"",(((25.4/1000)*'Metric Data'!$AC$4*'Metric Data'!$AC$5)-D115)*($E$6/100))</f>
        <v/>
      </c>
      <c r="R115" s="30" t="str">
        <f t="shared" si="36"/>
        <v/>
      </c>
      <c r="S115" s="30" t="str">
        <f>IF(A115=0,"",(((25.4/1000)*'Metric Data'!$AC$5*'Metric Data'!$AC$7)-E115)*($E$6/100))</f>
        <v/>
      </c>
      <c r="T115" s="30" t="str">
        <f t="shared" si="37"/>
        <v/>
      </c>
      <c r="U115" s="30" t="str">
        <f t="shared" si="38"/>
        <v/>
      </c>
      <c r="V115" s="30" t="str">
        <f t="shared" si="39"/>
        <v/>
      </c>
      <c r="W115" s="30" t="str">
        <f t="shared" si="40"/>
        <v/>
      </c>
    </row>
    <row r="116" spans="1:23" x14ac:dyDescent="0.2">
      <c r="A116" s="34">
        <f t="shared" si="25"/>
        <v>0</v>
      </c>
      <c r="B116" s="34">
        <v>103</v>
      </c>
      <c r="C116" s="34">
        <f t="shared" si="28"/>
        <v>0</v>
      </c>
      <c r="D116" s="30" t="str">
        <f>IF(A116=0,"",IF('Metric Data'!AG105&gt;=1, INDEX(Metric_Incremental[], MATCH('Metric Data'!AG105, Metric_Incremental[Height], 1), MATCH('Cumulative Volumes Metric'!$F$4, Metric_Incremental[#Headers], 0)), 0))</f>
        <v/>
      </c>
      <c r="E116" s="80" t="str">
        <f>IF(A116=0,"",IF('Metric Data'!AG105&gt;=1, INDEX(Metric_Incremental[], MATCH('Metric Data'!AG105, Metric_Incremental[Height], 1), MATCH('Cumulative Volumes Metric'!$F$4 &amp; "EC", Metric_Incremental[#Headers], 0)), 0))</f>
        <v/>
      </c>
      <c r="F116" s="30" t="str">
        <f t="shared" si="29"/>
        <v/>
      </c>
      <c r="G116" s="30" t="str">
        <f t="shared" si="30"/>
        <v/>
      </c>
      <c r="H116" s="30" t="str">
        <f>IF(A116=0,"",IF('Cumulative Volumes Metric'!$AR$17=FALSE,J116,I116))</f>
        <v/>
      </c>
      <c r="I116" s="30" t="str">
        <f t="shared" si="31"/>
        <v/>
      </c>
      <c r="J116" s="30" t="str">
        <f t="shared" si="32"/>
        <v/>
      </c>
      <c r="K116" s="30" t="str">
        <f>IF(A116=0,"",IF('Cumulative Volumes Metric'!$AR$17=FALSE,M116,L116))</f>
        <v/>
      </c>
      <c r="L116" s="30" t="str">
        <f t="shared" si="33"/>
        <v/>
      </c>
      <c r="M116" s="30" t="str">
        <f t="shared" si="34"/>
        <v/>
      </c>
      <c r="N116" s="30" t="str">
        <f>IF(($E$8/25.4)+45+($E$9/25.4)&gt;989,"FALSE",IF(A116="","",IF('Cumulative Volumes Metric'!$AR$17=FALSE,P116,O116)))</f>
        <v/>
      </c>
      <c r="O116" s="30" t="str">
        <f t="shared" si="35"/>
        <v/>
      </c>
      <c r="P116" s="30" t="str">
        <f>IF(A116=0,"",IF('Cumulative Volumes Metric'!$AR$17=FALSE,(U116*$E$4)+(V116*$E$5),O116))</f>
        <v/>
      </c>
      <c r="Q116" s="30" t="str">
        <f>IF(A116=0,"",(((25.4/1000)*'Metric Data'!$AC$4*'Metric Data'!$AC$5)-D116)*($E$6/100))</f>
        <v/>
      </c>
      <c r="R116" s="30" t="str">
        <f t="shared" si="36"/>
        <v/>
      </c>
      <c r="S116" s="30" t="str">
        <f>IF(A116=0,"",(((25.4/1000)*'Metric Data'!$AC$5*'Metric Data'!$AC$7)-E116)*($E$6/100))</f>
        <v/>
      </c>
      <c r="T116" s="30" t="str">
        <f t="shared" si="37"/>
        <v/>
      </c>
      <c r="U116" s="30" t="str">
        <f t="shared" si="38"/>
        <v/>
      </c>
      <c r="V116" s="30" t="str">
        <f t="shared" si="39"/>
        <v/>
      </c>
      <c r="W116" s="30" t="str">
        <f t="shared" si="40"/>
        <v/>
      </c>
    </row>
    <row r="117" spans="1:23" x14ac:dyDescent="0.2">
      <c r="A117" s="34">
        <f t="shared" si="25"/>
        <v>0</v>
      </c>
      <c r="B117" s="34">
        <v>104</v>
      </c>
      <c r="C117" s="34">
        <f t="shared" si="28"/>
        <v>0</v>
      </c>
      <c r="D117" s="30" t="str">
        <f>IF(A117=0,"",IF('Metric Data'!AG106&gt;=1, INDEX(Metric_Incremental[], MATCH('Metric Data'!AG106, Metric_Incremental[Height], 1), MATCH('Cumulative Volumes Metric'!$F$4, Metric_Incremental[#Headers], 0)), 0))</f>
        <v/>
      </c>
      <c r="E117" s="80" t="str">
        <f>IF(A117=0,"",IF('Metric Data'!AG106&gt;=1, INDEX(Metric_Incremental[], MATCH('Metric Data'!AG106, Metric_Incremental[Height], 1), MATCH('Cumulative Volumes Metric'!$F$4 &amp; "EC", Metric_Incremental[#Headers], 0)), 0))</f>
        <v/>
      </c>
      <c r="F117" s="30" t="str">
        <f t="shared" si="29"/>
        <v/>
      </c>
      <c r="G117" s="30" t="str">
        <f t="shared" si="30"/>
        <v/>
      </c>
      <c r="H117" s="30" t="str">
        <f>IF(A117=0,"",IF('Cumulative Volumes Metric'!$AR$17=FALSE,J117,I117))</f>
        <v/>
      </c>
      <c r="I117" s="30" t="str">
        <f t="shared" si="31"/>
        <v/>
      </c>
      <c r="J117" s="30" t="str">
        <f t="shared" si="32"/>
        <v/>
      </c>
      <c r="K117" s="30" t="str">
        <f>IF(A117=0,"",IF('Cumulative Volumes Metric'!$AR$17=FALSE,M117,L117))</f>
        <v/>
      </c>
      <c r="L117" s="30" t="str">
        <f t="shared" si="33"/>
        <v/>
      </c>
      <c r="M117" s="30" t="str">
        <f t="shared" si="34"/>
        <v/>
      </c>
      <c r="N117" s="30" t="str">
        <f>IF(($E$8/25.4)+45+($E$9/25.4)&gt;989,"FALSE",IF(A117="","",IF('Cumulative Volumes Metric'!$AR$17=FALSE,P117,O117)))</f>
        <v/>
      </c>
      <c r="O117" s="30" t="str">
        <f t="shared" si="35"/>
        <v/>
      </c>
      <c r="P117" s="30" t="str">
        <f>IF(A117=0,"",IF('Cumulative Volumes Metric'!$AR$17=FALSE,(U117*$E$4)+(V117*$E$5),O117))</f>
        <v/>
      </c>
      <c r="Q117" s="30" t="str">
        <f>IF(A117=0,"",(((25.4/1000)*'Metric Data'!$AC$4*'Metric Data'!$AC$5)-D117)*($E$6/100))</f>
        <v/>
      </c>
      <c r="R117" s="30" t="str">
        <f t="shared" si="36"/>
        <v/>
      </c>
      <c r="S117" s="30" t="str">
        <f>IF(A117=0,"",(((25.4/1000)*'Metric Data'!$AC$5*'Metric Data'!$AC$7)-E117)*($E$6/100))</f>
        <v/>
      </c>
      <c r="T117" s="30" t="str">
        <f t="shared" si="37"/>
        <v/>
      </c>
      <c r="U117" s="30" t="str">
        <f t="shared" si="38"/>
        <v/>
      </c>
      <c r="V117" s="30" t="str">
        <f t="shared" si="39"/>
        <v/>
      </c>
      <c r="W117" s="30" t="str">
        <f t="shared" si="40"/>
        <v/>
      </c>
    </row>
    <row r="118" spans="1:23" x14ac:dyDescent="0.2">
      <c r="A118" s="34">
        <f t="shared" si="25"/>
        <v>0</v>
      </c>
      <c r="B118" s="34">
        <v>105</v>
      </c>
      <c r="C118" s="34">
        <f t="shared" si="28"/>
        <v>0</v>
      </c>
      <c r="D118" s="30" t="str">
        <f>IF(A118=0,"",IF('Metric Data'!AG107&gt;=1, INDEX(Metric_Incremental[], MATCH('Metric Data'!AG107, Metric_Incremental[Height], 1), MATCH('Cumulative Volumes Metric'!$F$4, Metric_Incremental[#Headers], 0)), 0))</f>
        <v/>
      </c>
      <c r="E118" s="80" t="str">
        <f>IF(A118=0,"",IF('Metric Data'!AG107&gt;=1, INDEX(Metric_Incremental[], MATCH('Metric Data'!AG107, Metric_Incremental[Height], 1), MATCH('Cumulative Volumes Metric'!$F$4 &amp; "EC", Metric_Incremental[#Headers], 0)), 0))</f>
        <v/>
      </c>
      <c r="F118" s="30" t="str">
        <f t="shared" si="29"/>
        <v/>
      </c>
      <c r="G118" s="30" t="str">
        <f t="shared" si="30"/>
        <v/>
      </c>
      <c r="H118" s="30" t="str">
        <f>IF(A118=0,"",IF('Cumulative Volumes Metric'!$AR$17=FALSE,J118,I118))</f>
        <v/>
      </c>
      <c r="I118" s="30" t="str">
        <f t="shared" si="31"/>
        <v/>
      </c>
      <c r="J118" s="30" t="str">
        <f t="shared" si="32"/>
        <v/>
      </c>
      <c r="K118" s="30" t="str">
        <f>IF(A118=0,"",IF('Cumulative Volumes Metric'!$AR$17=FALSE,M118,L118))</f>
        <v/>
      </c>
      <c r="L118" s="30" t="str">
        <f t="shared" si="33"/>
        <v/>
      </c>
      <c r="M118" s="30" t="str">
        <f t="shared" si="34"/>
        <v/>
      </c>
      <c r="N118" s="30" t="str">
        <f>IF(($E$8/25.4)+45+($E$9/25.4)&gt;989,"FALSE",IF(A118="","",IF('Cumulative Volumes Metric'!$AR$17=FALSE,P118,O118)))</f>
        <v/>
      </c>
      <c r="O118" s="30" t="str">
        <f t="shared" si="35"/>
        <v/>
      </c>
      <c r="P118" s="30" t="str">
        <f>IF(A118=0,"",IF('Cumulative Volumes Metric'!$AR$17=FALSE,(U118*$E$4)+(V118*$E$5),O118))</f>
        <v/>
      </c>
      <c r="Q118" s="30" t="str">
        <f>IF(A118=0,"",(((25.4/1000)*'Metric Data'!$AC$4*'Metric Data'!$AC$5)-D118)*($E$6/100))</f>
        <v/>
      </c>
      <c r="R118" s="30" t="str">
        <f t="shared" si="36"/>
        <v/>
      </c>
      <c r="S118" s="30" t="str">
        <f>IF(A118=0,"",(((25.4/1000)*'Metric Data'!$AC$5*'Metric Data'!$AC$7)-E118)*($E$6/100))</f>
        <v/>
      </c>
      <c r="T118" s="30" t="str">
        <f t="shared" si="37"/>
        <v/>
      </c>
      <c r="U118" s="30" t="str">
        <f t="shared" si="38"/>
        <v/>
      </c>
      <c r="V118" s="30" t="str">
        <f t="shared" si="39"/>
        <v/>
      </c>
      <c r="W118" s="30" t="str">
        <f t="shared" si="40"/>
        <v/>
      </c>
    </row>
    <row r="119" spans="1:23" x14ac:dyDescent="0.2">
      <c r="A119" s="34">
        <f t="shared" si="25"/>
        <v>0</v>
      </c>
      <c r="B119" s="34">
        <v>106</v>
      </c>
      <c r="C119" s="34">
        <f t="shared" si="28"/>
        <v>0</v>
      </c>
      <c r="D119" s="30" t="str">
        <f>IF(A119=0,"",IF('Metric Data'!AG108&gt;=1, INDEX(Metric_Incremental[], MATCH('Metric Data'!AG108, Metric_Incremental[Height], 1), MATCH('Cumulative Volumes Metric'!$F$4, Metric_Incremental[#Headers], 0)), 0))</f>
        <v/>
      </c>
      <c r="E119" s="80" t="str">
        <f>IF(A119=0,"",IF('Metric Data'!AG108&gt;=1, INDEX(Metric_Incremental[], MATCH('Metric Data'!AG108, Metric_Incremental[Height], 1), MATCH('Cumulative Volumes Metric'!$F$4 &amp; "EC", Metric_Incremental[#Headers], 0)), 0))</f>
        <v/>
      </c>
      <c r="F119" s="30" t="str">
        <f t="shared" si="29"/>
        <v/>
      </c>
      <c r="G119" s="30" t="str">
        <f t="shared" si="30"/>
        <v/>
      </c>
      <c r="H119" s="30" t="str">
        <f>IF(A119=0,"",IF('Cumulative Volumes Metric'!$AR$17=FALSE,J119,I119))</f>
        <v/>
      </c>
      <c r="I119" s="30" t="str">
        <f t="shared" si="31"/>
        <v/>
      </c>
      <c r="J119" s="30" t="str">
        <f t="shared" si="32"/>
        <v/>
      </c>
      <c r="K119" s="30" t="str">
        <f>IF(A119=0,"",IF('Cumulative Volumes Metric'!$AR$17=FALSE,M119,L119))</f>
        <v/>
      </c>
      <c r="L119" s="30" t="str">
        <f t="shared" si="33"/>
        <v/>
      </c>
      <c r="M119" s="30" t="str">
        <f t="shared" si="34"/>
        <v/>
      </c>
      <c r="N119" s="30" t="str">
        <f>IF(($E$8/25.4)+45+($E$9/25.4)&gt;989,"FALSE",IF(A119="","",IF('Cumulative Volumes Metric'!$AR$17=FALSE,P119,O119)))</f>
        <v/>
      </c>
      <c r="O119" s="30" t="str">
        <f t="shared" si="35"/>
        <v/>
      </c>
      <c r="P119" s="30" t="str">
        <f>IF(A119=0,"",IF('Cumulative Volumes Metric'!$AR$17=FALSE,(U119*$E$4)+(V119*$E$5),O119))</f>
        <v/>
      </c>
      <c r="Q119" s="30" t="str">
        <f>IF(A119=0,"",(((25.4/1000)*'Metric Data'!$AC$4*'Metric Data'!$AC$5)-D119)*($E$6/100))</f>
        <v/>
      </c>
      <c r="R119" s="30" t="str">
        <f t="shared" si="36"/>
        <v/>
      </c>
      <c r="S119" s="30" t="str">
        <f>IF(A119=0,"",(((25.4/1000)*'Metric Data'!$AC$5*'Metric Data'!$AC$7)-E119)*($E$6/100))</f>
        <v/>
      </c>
      <c r="T119" s="30" t="str">
        <f t="shared" si="37"/>
        <v/>
      </c>
      <c r="U119" s="30" t="str">
        <f t="shared" si="38"/>
        <v/>
      </c>
      <c r="V119" s="30" t="str">
        <f t="shared" si="39"/>
        <v/>
      </c>
      <c r="W119" s="30" t="str">
        <f t="shared" si="40"/>
        <v/>
      </c>
    </row>
    <row r="120" spans="1:23" x14ac:dyDescent="0.2">
      <c r="A120" s="34">
        <f t="shared" si="25"/>
        <v>0</v>
      </c>
      <c r="B120" s="34">
        <v>107</v>
      </c>
      <c r="C120" s="34">
        <f t="shared" si="28"/>
        <v>0</v>
      </c>
      <c r="D120" s="30" t="str">
        <f>IF(A120=0,"",IF('Metric Data'!AG109&gt;=1, INDEX(Metric_Incremental[], MATCH('Metric Data'!AG109, Metric_Incremental[Height], 1), MATCH('Cumulative Volumes Metric'!$F$4, Metric_Incremental[#Headers], 0)), 0))</f>
        <v/>
      </c>
      <c r="E120" s="80" t="str">
        <f>IF(A120=0,"",IF('Metric Data'!AG109&gt;=1, INDEX(Metric_Incremental[], MATCH('Metric Data'!AG109, Metric_Incremental[Height], 1), MATCH('Cumulative Volumes Metric'!$F$4 &amp; "EC", Metric_Incremental[#Headers], 0)), 0))</f>
        <v/>
      </c>
      <c r="F120" s="30" t="str">
        <f t="shared" si="29"/>
        <v/>
      </c>
      <c r="G120" s="30" t="str">
        <f t="shared" si="30"/>
        <v/>
      </c>
      <c r="H120" s="30" t="str">
        <f>IF(A120=0,"",IF('Cumulative Volumes Metric'!$AR$17=FALSE,J120,I120))</f>
        <v/>
      </c>
      <c r="I120" s="30" t="str">
        <f t="shared" si="31"/>
        <v/>
      </c>
      <c r="J120" s="30" t="str">
        <f t="shared" si="32"/>
        <v/>
      </c>
      <c r="K120" s="30" t="str">
        <f>IF(A120=0,"",IF('Cumulative Volumes Metric'!$AR$17=FALSE,M120,L120))</f>
        <v/>
      </c>
      <c r="L120" s="30" t="str">
        <f t="shared" si="33"/>
        <v/>
      </c>
      <c r="M120" s="30" t="str">
        <f t="shared" si="34"/>
        <v/>
      </c>
      <c r="N120" s="30" t="str">
        <f>IF(($E$8/25.4)+45+($E$9/25.4)&gt;989,"FALSE",IF(A120="","",IF('Cumulative Volumes Metric'!$AR$17=FALSE,P120,O120)))</f>
        <v/>
      </c>
      <c r="O120" s="30" t="str">
        <f t="shared" si="35"/>
        <v/>
      </c>
      <c r="P120" s="30" t="str">
        <f>IF(A120=0,"",IF('Cumulative Volumes Metric'!$AR$17=FALSE,(U120*$E$4)+(V120*$E$5),O120))</f>
        <v/>
      </c>
      <c r="Q120" s="30" t="str">
        <f>IF(A120=0,"",(((25.4/1000)*'Metric Data'!$AC$4*'Metric Data'!$AC$5)-D120)*($E$6/100))</f>
        <v/>
      </c>
      <c r="R120" s="30" t="str">
        <f t="shared" si="36"/>
        <v/>
      </c>
      <c r="S120" s="30" t="str">
        <f>IF(A120=0,"",(((25.4/1000)*'Metric Data'!$AC$5*'Metric Data'!$AC$7)-E120)*($E$6/100))</f>
        <v/>
      </c>
      <c r="T120" s="30" t="str">
        <f t="shared" si="37"/>
        <v/>
      </c>
      <c r="U120" s="30" t="str">
        <f t="shared" si="38"/>
        <v/>
      </c>
      <c r="V120" s="30" t="str">
        <f t="shared" si="39"/>
        <v/>
      </c>
      <c r="W120" s="30" t="str">
        <f t="shared" si="40"/>
        <v/>
      </c>
    </row>
    <row r="121" spans="1:23" x14ac:dyDescent="0.2">
      <c r="A121" s="34">
        <f t="shared" si="25"/>
        <v>0</v>
      </c>
      <c r="B121" s="34">
        <v>108</v>
      </c>
      <c r="C121" s="34">
        <f t="shared" si="28"/>
        <v>0</v>
      </c>
      <c r="D121" s="30" t="str">
        <f>IF(A121=0,"",IF('Metric Data'!AG110&gt;=1, INDEX(Metric_Incremental[], MATCH('Metric Data'!AG110, Metric_Incremental[Height], 1), MATCH('Cumulative Volumes Metric'!$F$4, Metric_Incremental[#Headers], 0)), 0))</f>
        <v/>
      </c>
      <c r="E121" s="80" t="str">
        <f>IF(A121=0,"",IF('Metric Data'!AG110&gt;=1, INDEX(Metric_Incremental[], MATCH('Metric Data'!AG110, Metric_Incremental[Height], 1), MATCH('Cumulative Volumes Metric'!$F$4 &amp; "EC", Metric_Incremental[#Headers], 0)), 0))</f>
        <v/>
      </c>
      <c r="F121" s="30" t="str">
        <f t="shared" si="29"/>
        <v/>
      </c>
      <c r="G121" s="30" t="str">
        <f t="shared" si="30"/>
        <v/>
      </c>
      <c r="H121" s="30" t="str">
        <f>IF(A121=0,"",IF('Cumulative Volumes Metric'!$AR$17=FALSE,J121,I121))</f>
        <v/>
      </c>
      <c r="I121" s="30" t="str">
        <f t="shared" si="31"/>
        <v/>
      </c>
      <c r="J121" s="30" t="str">
        <f t="shared" si="32"/>
        <v/>
      </c>
      <c r="K121" s="30" t="str">
        <f>IF(A121=0,"",IF('Cumulative Volumes Metric'!$AR$17=FALSE,M121,L121))</f>
        <v/>
      </c>
      <c r="L121" s="30" t="str">
        <f t="shared" si="33"/>
        <v/>
      </c>
      <c r="M121" s="30" t="str">
        <f t="shared" si="34"/>
        <v/>
      </c>
      <c r="N121" s="30" t="str">
        <f>IF(($E$8/25.4)+45+($E$9/25.4)&gt;989,"FALSE",IF(A121="","",IF('Cumulative Volumes Metric'!$AR$17=FALSE,P121,O121)))</f>
        <v/>
      </c>
      <c r="O121" s="30" t="str">
        <f t="shared" si="35"/>
        <v/>
      </c>
      <c r="P121" s="30" t="str">
        <f>IF(A121=0,"",IF('Cumulative Volumes Metric'!$AR$17=FALSE,(U121*$E$4)+(V121*$E$5),O121))</f>
        <v/>
      </c>
      <c r="Q121" s="30" t="str">
        <f>IF(A121=0,"",(((25.4/1000)*'Metric Data'!$AC$4*'Metric Data'!$AC$5)-D121)*($E$6/100))</f>
        <v/>
      </c>
      <c r="R121" s="30" t="str">
        <f t="shared" si="36"/>
        <v/>
      </c>
      <c r="S121" s="30" t="str">
        <f>IF(A121=0,"",(((25.4/1000)*'Metric Data'!$AC$5*'Metric Data'!$AC$7)-E121)*($E$6/100))</f>
        <v/>
      </c>
      <c r="T121" s="30" t="str">
        <f t="shared" si="37"/>
        <v/>
      </c>
      <c r="U121" s="30" t="str">
        <f t="shared" si="38"/>
        <v/>
      </c>
      <c r="V121" s="30" t="str">
        <f t="shared" si="39"/>
        <v/>
      </c>
      <c r="W121" s="30" t="str">
        <f t="shared" si="40"/>
        <v/>
      </c>
    </row>
    <row r="122" spans="1:23" x14ac:dyDescent="0.2">
      <c r="A122" s="34">
        <f t="shared" si="25"/>
        <v>0</v>
      </c>
      <c r="B122" s="34">
        <v>109</v>
      </c>
      <c r="C122" s="34">
        <f t="shared" si="28"/>
        <v>0</v>
      </c>
      <c r="D122" s="30" t="str">
        <f>IF(A122=0,"",IF('Metric Data'!AG111&gt;=1, INDEX(Metric_Incremental[], MATCH('Metric Data'!AG111, Metric_Incremental[Height], 1), MATCH('Cumulative Volumes Metric'!$F$4, Metric_Incremental[#Headers], 0)), 0))</f>
        <v/>
      </c>
      <c r="E122" s="80" t="str">
        <f>IF(A122=0,"",IF('Metric Data'!AG111&gt;=1, INDEX(Metric_Incremental[], MATCH('Metric Data'!AG111, Metric_Incremental[Height], 1), MATCH('Cumulative Volumes Metric'!$F$4 &amp; "EC", Metric_Incremental[#Headers], 0)), 0))</f>
        <v/>
      </c>
      <c r="F122" s="30" t="str">
        <f t="shared" si="29"/>
        <v/>
      </c>
      <c r="G122" s="30" t="str">
        <f t="shared" si="30"/>
        <v/>
      </c>
      <c r="H122" s="30" t="str">
        <f>IF(A122=0,"",IF('Cumulative Volumes Metric'!$AR$17=FALSE,J122,I122))</f>
        <v/>
      </c>
      <c r="I122" s="30" t="str">
        <f t="shared" si="31"/>
        <v/>
      </c>
      <c r="J122" s="30" t="str">
        <f t="shared" si="32"/>
        <v/>
      </c>
      <c r="K122" s="30" t="str">
        <f>IF(A122=0,"",IF('Cumulative Volumes Metric'!$AR$17=FALSE,M122,L122))</f>
        <v/>
      </c>
      <c r="L122" s="30" t="str">
        <f t="shared" si="33"/>
        <v/>
      </c>
      <c r="M122" s="30" t="str">
        <f t="shared" si="34"/>
        <v/>
      </c>
      <c r="N122" s="30" t="str">
        <f>IF(($E$8/25.4)+45+($E$9/25.4)&gt;989,"FALSE",IF(A122="","",IF('Cumulative Volumes Metric'!$AR$17=FALSE,P122,O122)))</f>
        <v/>
      </c>
      <c r="O122" s="30" t="str">
        <f t="shared" si="35"/>
        <v/>
      </c>
      <c r="P122" s="30" t="str">
        <f>IF(A122=0,"",IF('Cumulative Volumes Metric'!$AR$17=FALSE,(U122*$E$4)+(V122*$E$5),O122))</f>
        <v/>
      </c>
      <c r="Q122" s="30" t="str">
        <f>IF(A122=0,"",(((25.4/1000)*'Metric Data'!$AC$4*'Metric Data'!$AC$5)-D122)*($E$6/100))</f>
        <v/>
      </c>
      <c r="R122" s="30" t="str">
        <f t="shared" si="36"/>
        <v/>
      </c>
      <c r="S122" s="30" t="str">
        <f>IF(A122=0,"",(((25.4/1000)*'Metric Data'!$AC$5*'Metric Data'!$AC$7)-E122)*($E$6/100))</f>
        <v/>
      </c>
      <c r="T122" s="30" t="str">
        <f t="shared" si="37"/>
        <v/>
      </c>
      <c r="U122" s="30" t="str">
        <f t="shared" si="38"/>
        <v/>
      </c>
      <c r="V122" s="30" t="str">
        <f t="shared" si="39"/>
        <v/>
      </c>
      <c r="W122" s="30" t="str">
        <f t="shared" si="40"/>
        <v/>
      </c>
    </row>
    <row r="123" spans="1:23" x14ac:dyDescent="0.2">
      <c r="A123" s="34">
        <f t="shared" si="25"/>
        <v>0</v>
      </c>
      <c r="B123" s="34">
        <v>110</v>
      </c>
      <c r="C123" s="34">
        <f t="shared" si="28"/>
        <v>0</v>
      </c>
      <c r="D123" s="30" t="str">
        <f>IF(A123=0,"",IF('Metric Data'!AG112&gt;=1, INDEX(Metric_Incremental[], MATCH('Metric Data'!AG112, Metric_Incremental[Height], 1), MATCH('Cumulative Volumes Metric'!$F$4, Metric_Incremental[#Headers], 0)), 0))</f>
        <v/>
      </c>
      <c r="E123" s="80" t="str">
        <f>IF(A123=0,"",IF('Metric Data'!AG112&gt;=1, INDEX(Metric_Incremental[], MATCH('Metric Data'!AG112, Metric_Incremental[Height], 1), MATCH('Cumulative Volumes Metric'!$F$4 &amp; "EC", Metric_Incremental[#Headers], 0)), 0))</f>
        <v/>
      </c>
      <c r="F123" s="30" t="str">
        <f t="shared" si="29"/>
        <v/>
      </c>
      <c r="G123" s="30" t="str">
        <f t="shared" si="30"/>
        <v/>
      </c>
      <c r="H123" s="30" t="str">
        <f>IF(A123=0,"",IF('Cumulative Volumes Metric'!$AR$17=FALSE,J123,I123))</f>
        <v/>
      </c>
      <c r="I123" s="30" t="str">
        <f t="shared" si="31"/>
        <v/>
      </c>
      <c r="J123" s="30" t="str">
        <f t="shared" si="32"/>
        <v/>
      </c>
      <c r="K123" s="30" t="str">
        <f>IF(A123=0,"",IF('Cumulative Volumes Metric'!$AR$17=FALSE,M123,L123))</f>
        <v/>
      </c>
      <c r="L123" s="30" t="str">
        <f t="shared" si="33"/>
        <v/>
      </c>
      <c r="M123" s="30" t="str">
        <f t="shared" si="34"/>
        <v/>
      </c>
      <c r="N123" s="30" t="str">
        <f>IF(($E$8/25.4)+45+($E$9/25.4)&gt;989,"FALSE",IF(A123="","",IF('Cumulative Volumes Metric'!$AR$17=FALSE,P123,O123)))</f>
        <v/>
      </c>
      <c r="O123" s="30" t="str">
        <f t="shared" si="35"/>
        <v/>
      </c>
      <c r="P123" s="30" t="str">
        <f>IF(A123=0,"",IF('Cumulative Volumes Metric'!$AR$17=FALSE,(U123*$E$4)+(V123*$E$5),O123))</f>
        <v/>
      </c>
      <c r="Q123" s="30" t="str">
        <f>IF(A123=0,"",(((25.4/1000)*'Metric Data'!$AC$4*'Metric Data'!$AC$5)-D123)*($E$6/100))</f>
        <v/>
      </c>
      <c r="R123" s="30" t="str">
        <f t="shared" si="36"/>
        <v/>
      </c>
      <c r="S123" s="30" t="str">
        <f>IF(A123=0,"",(((25.4/1000)*'Metric Data'!$AC$5*'Metric Data'!$AC$7)-E123)*($E$6/100))</f>
        <v/>
      </c>
      <c r="T123" s="30" t="str">
        <f t="shared" si="37"/>
        <v/>
      </c>
      <c r="U123" s="30" t="str">
        <f t="shared" si="38"/>
        <v/>
      </c>
      <c r="V123" s="30" t="str">
        <f t="shared" si="39"/>
        <v/>
      </c>
      <c r="W123" s="30" t="str">
        <f t="shared" si="40"/>
        <v/>
      </c>
    </row>
    <row r="124" spans="1:23" x14ac:dyDescent="0.2">
      <c r="A124" s="34">
        <f t="shared" si="25"/>
        <v>0</v>
      </c>
      <c r="B124" s="34">
        <v>111</v>
      </c>
      <c r="C124" s="34">
        <f t="shared" si="28"/>
        <v>0</v>
      </c>
      <c r="D124" s="30" t="str">
        <f>IF(A124=0,"",IF('Metric Data'!AG113&gt;=1, INDEX(Metric_Incremental[], MATCH('Metric Data'!AG113, Metric_Incremental[Height], 1), MATCH('Cumulative Volumes Metric'!$F$4, Metric_Incremental[#Headers], 0)), 0))</f>
        <v/>
      </c>
      <c r="E124" s="80" t="str">
        <f>IF(A124=0,"",IF('Metric Data'!AG113&gt;=1, INDEX(Metric_Incremental[], MATCH('Metric Data'!AG113, Metric_Incremental[Height], 1), MATCH('Cumulative Volumes Metric'!$F$4 &amp; "EC", Metric_Incremental[#Headers], 0)), 0))</f>
        <v/>
      </c>
      <c r="F124" s="30" t="str">
        <f t="shared" si="29"/>
        <v/>
      </c>
      <c r="G124" s="30" t="str">
        <f t="shared" si="30"/>
        <v/>
      </c>
      <c r="H124" s="30" t="str">
        <f>IF(A124=0,"",IF('Cumulative Volumes Metric'!$AR$17=FALSE,J124,I124))</f>
        <v/>
      </c>
      <c r="I124" s="30" t="str">
        <f t="shared" si="31"/>
        <v/>
      </c>
      <c r="J124" s="30" t="str">
        <f t="shared" si="32"/>
        <v/>
      </c>
      <c r="K124" s="30" t="str">
        <f>IF(A124=0,"",IF('Cumulative Volumes Metric'!$AR$17=FALSE,M124,L124))</f>
        <v/>
      </c>
      <c r="L124" s="30" t="str">
        <f t="shared" si="33"/>
        <v/>
      </c>
      <c r="M124" s="30" t="str">
        <f t="shared" si="34"/>
        <v/>
      </c>
      <c r="N124" s="30" t="str">
        <f>IF(($E$8/25.4)+45+($E$9/25.4)&gt;989,"FALSE",IF(A124="","",IF('Cumulative Volumes Metric'!$AR$17=FALSE,P124,O124)))</f>
        <v/>
      </c>
      <c r="O124" s="30" t="str">
        <f t="shared" si="35"/>
        <v/>
      </c>
      <c r="P124" s="30" t="str">
        <f>IF(A124=0,"",IF('Cumulative Volumes Metric'!$AR$17=FALSE,(U124*$E$4)+(V124*$E$5),O124))</f>
        <v/>
      </c>
      <c r="Q124" s="30" t="str">
        <f>IF(A124=0,"",(((25.4/1000)*'Metric Data'!$AC$4*'Metric Data'!$AC$5)-D124)*($E$6/100))</f>
        <v/>
      </c>
      <c r="R124" s="30" t="str">
        <f t="shared" si="36"/>
        <v/>
      </c>
      <c r="S124" s="30" t="str">
        <f>IF(A124=0,"",(((25.4/1000)*'Metric Data'!$AC$5*'Metric Data'!$AC$7)-E124)*($E$6/100))</f>
        <v/>
      </c>
      <c r="T124" s="30" t="str">
        <f t="shared" si="37"/>
        <v/>
      </c>
      <c r="U124" s="30" t="str">
        <f t="shared" si="38"/>
        <v/>
      </c>
      <c r="V124" s="30" t="str">
        <f t="shared" si="39"/>
        <v/>
      </c>
      <c r="W124" s="30" t="str">
        <f t="shared" si="40"/>
        <v/>
      </c>
    </row>
    <row r="125" spans="1:23" x14ac:dyDescent="0.2">
      <c r="A125" s="34">
        <f t="shared" si="25"/>
        <v>0</v>
      </c>
      <c r="B125" s="34">
        <v>112</v>
      </c>
      <c r="C125" s="34">
        <f t="shared" si="28"/>
        <v>0</v>
      </c>
      <c r="D125" s="30" t="str">
        <f>IF(A125=0,"",IF('Metric Data'!AG114&gt;=1, INDEX(Metric_Incremental[], MATCH('Metric Data'!AG114, Metric_Incremental[Height], 1), MATCH('Cumulative Volumes Metric'!$F$4, Metric_Incremental[#Headers], 0)), 0))</f>
        <v/>
      </c>
      <c r="E125" s="80" t="str">
        <f>IF(A125=0,"",IF('Metric Data'!AG114&gt;=1, INDEX(Metric_Incremental[], MATCH('Metric Data'!AG114, Metric_Incremental[Height], 1), MATCH('Cumulative Volumes Metric'!$F$4 &amp; "EC", Metric_Incremental[#Headers], 0)), 0))</f>
        <v/>
      </c>
      <c r="F125" s="30" t="str">
        <f t="shared" si="29"/>
        <v/>
      </c>
      <c r="G125" s="30" t="str">
        <f t="shared" si="30"/>
        <v/>
      </c>
      <c r="H125" s="30" t="str">
        <f>IF(A125=0,"",IF('Cumulative Volumes Metric'!$AR$17=FALSE,J125,I125))</f>
        <v/>
      </c>
      <c r="I125" s="30" t="str">
        <f t="shared" si="31"/>
        <v/>
      </c>
      <c r="J125" s="30" t="str">
        <f t="shared" si="32"/>
        <v/>
      </c>
      <c r="K125" s="30" t="str">
        <f>IF(A125=0,"",IF('Cumulative Volumes Metric'!$AR$17=FALSE,M125,L125))</f>
        <v/>
      </c>
      <c r="L125" s="30" t="str">
        <f t="shared" si="33"/>
        <v/>
      </c>
      <c r="M125" s="30" t="str">
        <f t="shared" si="34"/>
        <v/>
      </c>
      <c r="N125" s="30" t="str">
        <f>IF(($E$8/25.4)+45+($E$9/25.4)&gt;989,"FALSE",IF(A125="","",IF('Cumulative Volumes Metric'!$AR$17=FALSE,P125,O125)))</f>
        <v/>
      </c>
      <c r="O125" s="30" t="str">
        <f t="shared" si="35"/>
        <v/>
      </c>
      <c r="P125" s="30" t="str">
        <f>IF(A125=0,"",IF('Cumulative Volumes Metric'!$AR$17=FALSE,(U125*$E$4)+(V125*$E$5),O125))</f>
        <v/>
      </c>
      <c r="Q125" s="30" t="str">
        <f>IF(A125=0,"",(((25.4/1000)*'Metric Data'!$AC$4*'Metric Data'!$AC$5)-D125)*($E$6/100))</f>
        <v/>
      </c>
      <c r="R125" s="30" t="str">
        <f t="shared" si="36"/>
        <v/>
      </c>
      <c r="S125" s="30" t="str">
        <f>IF(A125=0,"",(((25.4/1000)*'Metric Data'!$AC$5*'Metric Data'!$AC$7)-E125)*($E$6/100))</f>
        <v/>
      </c>
      <c r="T125" s="30" t="str">
        <f t="shared" si="37"/>
        <v/>
      </c>
      <c r="U125" s="30" t="str">
        <f t="shared" si="38"/>
        <v/>
      </c>
      <c r="V125" s="30" t="str">
        <f t="shared" si="39"/>
        <v/>
      </c>
      <c r="W125" s="30" t="str">
        <f t="shared" si="40"/>
        <v/>
      </c>
    </row>
    <row r="126" spans="1:23" x14ac:dyDescent="0.2">
      <c r="A126" s="34">
        <f t="shared" si="25"/>
        <v>0</v>
      </c>
      <c r="B126" s="34">
        <v>113</v>
      </c>
      <c r="C126" s="34">
        <f t="shared" si="28"/>
        <v>0</v>
      </c>
      <c r="D126" s="30" t="str">
        <f>IF(A126=0,"",IF('Metric Data'!AG115&gt;=1, INDEX(Metric_Incremental[], MATCH('Metric Data'!AG115, Metric_Incremental[Height], 1), MATCH('Cumulative Volumes Metric'!$F$4, Metric_Incremental[#Headers], 0)), 0))</f>
        <v/>
      </c>
      <c r="E126" s="80" t="str">
        <f>IF(A126=0,"",IF('Metric Data'!AG115&gt;=1, INDEX(Metric_Incremental[], MATCH('Metric Data'!AG115, Metric_Incremental[Height], 1), MATCH('Cumulative Volumes Metric'!$F$4 &amp; "EC", Metric_Incremental[#Headers], 0)), 0))</f>
        <v/>
      </c>
      <c r="F126" s="30" t="str">
        <f t="shared" si="29"/>
        <v/>
      </c>
      <c r="G126" s="30" t="str">
        <f t="shared" si="30"/>
        <v/>
      </c>
      <c r="H126" s="30" t="str">
        <f>IF(A126=0,"",IF('Cumulative Volumes Metric'!$AR$17=FALSE,J126,I126))</f>
        <v/>
      </c>
      <c r="I126" s="30" t="str">
        <f t="shared" si="31"/>
        <v/>
      </c>
      <c r="J126" s="30" t="str">
        <f t="shared" si="32"/>
        <v/>
      </c>
      <c r="K126" s="30" t="str">
        <f>IF(A126=0,"",IF('Cumulative Volumes Metric'!$AR$17=FALSE,M126,L126))</f>
        <v/>
      </c>
      <c r="L126" s="30" t="str">
        <f t="shared" si="33"/>
        <v/>
      </c>
      <c r="M126" s="30" t="str">
        <f t="shared" si="34"/>
        <v/>
      </c>
      <c r="N126" s="30" t="str">
        <f>IF(($E$8/25.4)+45+($E$9/25.4)&gt;989,"FALSE",IF(A126="","",IF('Cumulative Volumes Metric'!$AR$17=FALSE,P126,O126)))</f>
        <v/>
      </c>
      <c r="O126" s="30" t="str">
        <f t="shared" si="35"/>
        <v/>
      </c>
      <c r="P126" s="30" t="str">
        <f>IF(A126=0,"",IF('Cumulative Volumes Metric'!$AR$17=FALSE,(U126*$E$4)+(V126*$E$5),O126))</f>
        <v/>
      </c>
      <c r="Q126" s="30" t="str">
        <f>IF(A126=0,"",(((25.4/1000)*'Metric Data'!$AC$4*'Metric Data'!$AC$5)-D126)*($E$6/100))</f>
        <v/>
      </c>
      <c r="R126" s="30" t="str">
        <f t="shared" si="36"/>
        <v/>
      </c>
      <c r="S126" s="30" t="str">
        <f>IF(A126=0,"",(((25.4/1000)*'Metric Data'!$AC$5*'Metric Data'!$AC$7)-E126)*($E$6/100))</f>
        <v/>
      </c>
      <c r="T126" s="30" t="str">
        <f t="shared" si="37"/>
        <v/>
      </c>
      <c r="U126" s="30" t="str">
        <f t="shared" si="38"/>
        <v/>
      </c>
      <c r="V126" s="30" t="str">
        <f t="shared" si="39"/>
        <v/>
      </c>
      <c r="W126" s="30" t="str">
        <f t="shared" si="40"/>
        <v/>
      </c>
    </row>
    <row r="127" spans="1:23" x14ac:dyDescent="0.2">
      <c r="A127" s="34">
        <f t="shared" si="25"/>
        <v>0</v>
      </c>
      <c r="B127" s="34">
        <v>114</v>
      </c>
      <c r="C127" s="34">
        <f t="shared" si="28"/>
        <v>0</v>
      </c>
      <c r="D127" s="30" t="str">
        <f>IF(A127=0,"",IF('Metric Data'!AG116&gt;=1, INDEX(Metric_Incremental[], MATCH('Metric Data'!AG116, Metric_Incremental[Height], 1), MATCH('Cumulative Volumes Metric'!$F$4, Metric_Incremental[#Headers], 0)), 0))</f>
        <v/>
      </c>
      <c r="E127" s="80" t="str">
        <f>IF(A127=0,"",IF('Metric Data'!AG116&gt;=1, INDEX(Metric_Incremental[], MATCH('Metric Data'!AG116, Metric_Incremental[Height], 1), MATCH('Cumulative Volumes Metric'!$F$4 &amp; "EC", Metric_Incremental[#Headers], 0)), 0))</f>
        <v/>
      </c>
      <c r="F127" s="30" t="str">
        <f t="shared" si="29"/>
        <v/>
      </c>
      <c r="G127" s="30" t="str">
        <f t="shared" si="30"/>
        <v/>
      </c>
      <c r="H127" s="30" t="str">
        <f>IF(A127=0,"",IF('Cumulative Volumes Metric'!$AR$17=FALSE,J127,I127))</f>
        <v/>
      </c>
      <c r="I127" s="30" t="str">
        <f t="shared" si="31"/>
        <v/>
      </c>
      <c r="J127" s="30" t="str">
        <f t="shared" si="32"/>
        <v/>
      </c>
      <c r="K127" s="30" t="str">
        <f>IF(A127=0,"",IF('Cumulative Volumes Metric'!$AR$17=FALSE,M127,L127))</f>
        <v/>
      </c>
      <c r="L127" s="30" t="str">
        <f t="shared" si="33"/>
        <v/>
      </c>
      <c r="M127" s="30" t="str">
        <f t="shared" si="34"/>
        <v/>
      </c>
      <c r="N127" s="30" t="str">
        <f>IF(($E$8/25.4)+45+($E$9/25.4)&gt;989,"FALSE",IF(A127="","",IF('Cumulative Volumes Metric'!$AR$17=FALSE,P127,O127)))</f>
        <v/>
      </c>
      <c r="O127" s="30" t="str">
        <f t="shared" si="35"/>
        <v/>
      </c>
      <c r="P127" s="30" t="str">
        <f>IF(A127=0,"",IF('Cumulative Volumes Metric'!$AR$17=FALSE,(U127*$E$4)+(V127*$E$5),O127))</f>
        <v/>
      </c>
      <c r="Q127" s="30" t="str">
        <f>IF(A127=0,"",(((25.4/1000)*'Metric Data'!$AC$4*'Metric Data'!$AC$5)-D127)*($E$6/100))</f>
        <v/>
      </c>
      <c r="R127" s="30" t="str">
        <f t="shared" si="36"/>
        <v/>
      </c>
      <c r="S127" s="30" t="str">
        <f>IF(A127=0,"",(((25.4/1000)*'Metric Data'!$AC$5*'Metric Data'!$AC$7)-E127)*($E$6/100))</f>
        <v/>
      </c>
      <c r="T127" s="30" t="str">
        <f t="shared" si="37"/>
        <v/>
      </c>
      <c r="U127" s="30" t="str">
        <f t="shared" si="38"/>
        <v/>
      </c>
      <c r="V127" s="30" t="str">
        <f t="shared" si="39"/>
        <v/>
      </c>
      <c r="W127" s="30" t="str">
        <f t="shared" si="40"/>
        <v/>
      </c>
    </row>
    <row r="128" spans="1:23" x14ac:dyDescent="0.2">
      <c r="A128" s="34">
        <f t="shared" si="25"/>
        <v>0</v>
      </c>
      <c r="B128" s="34">
        <v>115</v>
      </c>
      <c r="C128" s="34">
        <f t="shared" si="28"/>
        <v>0</v>
      </c>
      <c r="D128" s="30" t="str">
        <f>IF(A128=0,"",IF('Metric Data'!AG117&gt;=1, INDEX(Metric_Incremental[], MATCH('Metric Data'!AG117, Metric_Incremental[Height], 1), MATCH('Cumulative Volumes Metric'!$F$4, Metric_Incremental[#Headers], 0)), 0))</f>
        <v/>
      </c>
      <c r="E128" s="80" t="str">
        <f>IF(A128=0,"",IF('Metric Data'!AG117&gt;=1, INDEX(Metric_Incremental[], MATCH('Metric Data'!AG117, Metric_Incremental[Height], 1), MATCH('Cumulative Volumes Metric'!$F$4 &amp; "EC", Metric_Incremental[#Headers], 0)), 0))</f>
        <v/>
      </c>
      <c r="F128" s="30" t="str">
        <f t="shared" si="29"/>
        <v/>
      </c>
      <c r="G128" s="30" t="str">
        <f t="shared" si="30"/>
        <v/>
      </c>
      <c r="H128" s="30" t="str">
        <f>IF(A128=0,"",IF('Cumulative Volumes Metric'!$AR$17=FALSE,J128,I128))</f>
        <v/>
      </c>
      <c r="I128" s="30" t="str">
        <f t="shared" si="31"/>
        <v/>
      </c>
      <c r="J128" s="30" t="str">
        <f t="shared" si="32"/>
        <v/>
      </c>
      <c r="K128" s="30" t="str">
        <f>IF(A128=0,"",IF('Cumulative Volumes Metric'!$AR$17=FALSE,M128,L128))</f>
        <v/>
      </c>
      <c r="L128" s="30" t="str">
        <f t="shared" si="33"/>
        <v/>
      </c>
      <c r="M128" s="30" t="str">
        <f t="shared" si="34"/>
        <v/>
      </c>
      <c r="N128" s="30" t="str">
        <f>IF(($E$8/25.4)+45+($E$9/25.4)&gt;989,"FALSE",IF(A128="","",IF('Cumulative Volumes Metric'!$AR$17=FALSE,P128,O128)))</f>
        <v/>
      </c>
      <c r="O128" s="30" t="str">
        <f t="shared" si="35"/>
        <v/>
      </c>
      <c r="P128" s="30" t="str">
        <f>IF(A128=0,"",IF('Cumulative Volumes Metric'!$AR$17=FALSE,(U128*$E$4)+(V128*$E$5),O128))</f>
        <v/>
      </c>
      <c r="Q128" s="30" t="str">
        <f>IF(A128=0,"",(((25.4/1000)*'Metric Data'!$AC$4*'Metric Data'!$AC$5)-D128)*($E$6/100))</f>
        <v/>
      </c>
      <c r="R128" s="30" t="str">
        <f t="shared" si="36"/>
        <v/>
      </c>
      <c r="S128" s="30" t="str">
        <f>IF(A128=0,"",(((25.4/1000)*'Metric Data'!$AC$5*'Metric Data'!$AC$7)-E128)*($E$6/100))</f>
        <v/>
      </c>
      <c r="T128" s="30" t="str">
        <f t="shared" si="37"/>
        <v/>
      </c>
      <c r="U128" s="30" t="str">
        <f t="shared" si="38"/>
        <v/>
      </c>
      <c r="V128" s="30" t="str">
        <f t="shared" si="39"/>
        <v/>
      </c>
      <c r="W128" s="30" t="str">
        <f t="shared" si="40"/>
        <v/>
      </c>
    </row>
    <row r="129" spans="1:23" x14ac:dyDescent="0.2">
      <c r="A129" s="34">
        <f t="shared" si="25"/>
        <v>0</v>
      </c>
      <c r="B129" s="34">
        <v>116</v>
      </c>
      <c r="C129" s="34">
        <f t="shared" si="28"/>
        <v>0</v>
      </c>
      <c r="D129" s="30" t="str">
        <f>IF(A129=0,"",IF('Metric Data'!AG118&gt;=1, INDEX(Metric_Incremental[], MATCH('Metric Data'!AG118, Metric_Incremental[Height], 1), MATCH('Cumulative Volumes Metric'!$F$4, Metric_Incremental[#Headers], 0)), 0))</f>
        <v/>
      </c>
      <c r="E129" s="80" t="str">
        <f>IF(A129=0,"",IF('Metric Data'!AG118&gt;=1, INDEX(Metric_Incremental[], MATCH('Metric Data'!AG118, Metric_Incremental[Height], 1), MATCH('Cumulative Volumes Metric'!$F$4 &amp; "EC", Metric_Incremental[#Headers], 0)), 0))</f>
        <v/>
      </c>
      <c r="F129" s="30" t="str">
        <f t="shared" si="29"/>
        <v/>
      </c>
      <c r="G129" s="30" t="str">
        <f t="shared" si="30"/>
        <v/>
      </c>
      <c r="H129" s="30" t="str">
        <f>IF(A129=0,"",IF('Cumulative Volumes Metric'!$AR$17=FALSE,J129,I129))</f>
        <v/>
      </c>
      <c r="I129" s="30" t="str">
        <f t="shared" si="31"/>
        <v/>
      </c>
      <c r="J129" s="30" t="str">
        <f t="shared" si="32"/>
        <v/>
      </c>
      <c r="K129" s="30" t="str">
        <f>IF(A129=0,"",IF('Cumulative Volumes Metric'!$AR$17=FALSE,M129,L129))</f>
        <v/>
      </c>
      <c r="L129" s="30" t="str">
        <f t="shared" si="33"/>
        <v/>
      </c>
      <c r="M129" s="30" t="str">
        <f t="shared" si="34"/>
        <v/>
      </c>
      <c r="N129" s="30" t="str">
        <f>IF(($E$8/25.4)+45+($E$9/25.4)&gt;989,"FALSE",IF(A129="","",IF('Cumulative Volumes Metric'!$AR$17=FALSE,P129,O129)))</f>
        <v/>
      </c>
      <c r="O129" s="30" t="str">
        <f t="shared" si="35"/>
        <v/>
      </c>
      <c r="P129" s="30" t="str">
        <f>IF(A129=0,"",IF('Cumulative Volumes Metric'!$AR$17=FALSE,(U129*$E$4)+(V129*$E$5),O129))</f>
        <v/>
      </c>
      <c r="Q129" s="30" t="str">
        <f>IF(A129=0,"",(((25.4/1000)*'Metric Data'!$AC$4*'Metric Data'!$AC$5)-D129)*($E$6/100))</f>
        <v/>
      </c>
      <c r="R129" s="30" t="str">
        <f t="shared" si="36"/>
        <v/>
      </c>
      <c r="S129" s="30" t="str">
        <f>IF(A129=0,"",(((25.4/1000)*'Metric Data'!$AC$5*'Metric Data'!$AC$7)-E129)*($E$6/100))</f>
        <v/>
      </c>
      <c r="T129" s="30" t="str">
        <f t="shared" si="37"/>
        <v/>
      </c>
      <c r="U129" s="30" t="str">
        <f t="shared" si="38"/>
        <v/>
      </c>
      <c r="V129" s="30" t="str">
        <f t="shared" si="39"/>
        <v/>
      </c>
      <c r="W129" s="30" t="str">
        <f t="shared" si="40"/>
        <v/>
      </c>
    </row>
    <row r="130" spans="1:23" x14ac:dyDescent="0.2">
      <c r="A130" s="34">
        <f t="shared" si="25"/>
        <v>0</v>
      </c>
      <c r="B130" s="34">
        <v>117</v>
      </c>
      <c r="C130" s="34">
        <f t="shared" si="28"/>
        <v>0</v>
      </c>
      <c r="D130" s="30" t="str">
        <f>IF(A130=0,"",IF('Metric Data'!AG119&gt;=1, INDEX(Metric_Incremental[], MATCH('Metric Data'!AG119, Metric_Incremental[Height], 1), MATCH('Cumulative Volumes Metric'!$F$4, Metric_Incremental[#Headers], 0)), 0))</f>
        <v/>
      </c>
      <c r="E130" s="80" t="str">
        <f>IF(A130=0,"",IF('Metric Data'!AG119&gt;=1, INDEX(Metric_Incremental[], MATCH('Metric Data'!AG119, Metric_Incremental[Height], 1), MATCH('Cumulative Volumes Metric'!$F$4 &amp; "EC", Metric_Incremental[#Headers], 0)), 0))</f>
        <v/>
      </c>
      <c r="F130" s="30" t="str">
        <f t="shared" si="29"/>
        <v/>
      </c>
      <c r="G130" s="30" t="str">
        <f t="shared" si="30"/>
        <v/>
      </c>
      <c r="H130" s="30" t="str">
        <f>IF(A130=0,"",IF('Cumulative Volumes Metric'!$AR$17=FALSE,J130,I130))</f>
        <v/>
      </c>
      <c r="I130" s="30" t="str">
        <f t="shared" si="31"/>
        <v/>
      </c>
      <c r="J130" s="30" t="str">
        <f t="shared" si="32"/>
        <v/>
      </c>
      <c r="K130" s="30" t="str">
        <f>IF(A130=0,"",IF('Cumulative Volumes Metric'!$AR$17=FALSE,M130,L130))</f>
        <v/>
      </c>
      <c r="L130" s="30" t="str">
        <f t="shared" si="33"/>
        <v/>
      </c>
      <c r="M130" s="30" t="str">
        <f t="shared" si="34"/>
        <v/>
      </c>
      <c r="N130" s="30" t="str">
        <f>IF(($E$8/25.4)+45+($E$9/25.4)&gt;989,"FALSE",IF(A130="","",IF('Cumulative Volumes Metric'!$AR$17=FALSE,P130,O130)))</f>
        <v/>
      </c>
      <c r="O130" s="30" t="str">
        <f t="shared" si="35"/>
        <v/>
      </c>
      <c r="P130" s="30" t="str">
        <f>IF(A130=0,"",IF('Cumulative Volumes Metric'!$AR$17=FALSE,(U130*$E$4)+(V130*$E$5),O130))</f>
        <v/>
      </c>
      <c r="Q130" s="30" t="str">
        <f>IF(A130=0,"",(((25.4/1000)*'Metric Data'!$AC$4*'Metric Data'!$AC$5)-D130)*($E$6/100))</f>
        <v/>
      </c>
      <c r="R130" s="30" t="str">
        <f t="shared" si="36"/>
        <v/>
      </c>
      <c r="S130" s="30" t="str">
        <f>IF(A130=0,"",(((25.4/1000)*'Metric Data'!$AC$5*'Metric Data'!$AC$7)-E130)*($E$6/100))</f>
        <v/>
      </c>
      <c r="T130" s="30" t="str">
        <f t="shared" si="37"/>
        <v/>
      </c>
      <c r="U130" s="30" t="str">
        <f t="shared" si="38"/>
        <v/>
      </c>
      <c r="V130" s="30" t="str">
        <f t="shared" si="39"/>
        <v/>
      </c>
      <c r="W130" s="30" t="str">
        <f t="shared" si="40"/>
        <v/>
      </c>
    </row>
    <row r="131" spans="1:23" x14ac:dyDescent="0.2">
      <c r="A131" s="34">
        <f t="shared" si="25"/>
        <v>0</v>
      </c>
      <c r="B131" s="34">
        <v>118</v>
      </c>
      <c r="C131" s="34">
        <f t="shared" si="28"/>
        <v>0</v>
      </c>
      <c r="D131" s="30" t="str">
        <f>IF(A131=0,"",IF('Metric Data'!AG120&gt;=1, INDEX(Metric_Incremental[], MATCH('Metric Data'!AG120, Metric_Incremental[Height], 1), MATCH('Cumulative Volumes Metric'!$F$4, Metric_Incremental[#Headers], 0)), 0))</f>
        <v/>
      </c>
      <c r="E131" s="80" t="str">
        <f>IF(A131=0,"",IF('Metric Data'!AG120&gt;=1, INDEX(Metric_Incremental[], MATCH('Metric Data'!AG120, Metric_Incremental[Height], 1), MATCH('Cumulative Volumes Metric'!$F$4 &amp; "EC", Metric_Incremental[#Headers], 0)), 0))</f>
        <v/>
      </c>
      <c r="F131" s="30" t="str">
        <f t="shared" si="29"/>
        <v/>
      </c>
      <c r="G131" s="30" t="str">
        <f t="shared" si="30"/>
        <v/>
      </c>
      <c r="H131" s="30" t="str">
        <f>IF(A131=0,"",IF('Cumulative Volumes Metric'!$AR$17=FALSE,J131,I131))</f>
        <v/>
      </c>
      <c r="I131" s="30" t="str">
        <f t="shared" si="31"/>
        <v/>
      </c>
      <c r="J131" s="30" t="str">
        <f t="shared" si="32"/>
        <v/>
      </c>
      <c r="K131" s="30" t="str">
        <f>IF(A131=0,"",IF('Cumulative Volumes Metric'!$AR$17=FALSE,M131,L131))</f>
        <v/>
      </c>
      <c r="L131" s="30" t="str">
        <f t="shared" si="33"/>
        <v/>
      </c>
      <c r="M131" s="30" t="str">
        <f t="shared" si="34"/>
        <v/>
      </c>
      <c r="N131" s="30" t="str">
        <f>IF(($E$8/25.4)+45+($E$9/25.4)&gt;989,"FALSE",IF(A131="","",IF('Cumulative Volumes Metric'!$AR$17=FALSE,P131,O131)))</f>
        <v/>
      </c>
      <c r="O131" s="30" t="str">
        <f t="shared" si="35"/>
        <v/>
      </c>
      <c r="P131" s="30" t="str">
        <f>IF(A131=0,"",IF('Cumulative Volumes Metric'!$AR$17=FALSE,(U131*$E$4)+(V131*$E$5),O131))</f>
        <v/>
      </c>
      <c r="Q131" s="30" t="str">
        <f>IF(A131=0,"",(((25.4/1000)*'Metric Data'!$AC$4*'Metric Data'!$AC$5)-D131)*($E$6/100))</f>
        <v/>
      </c>
      <c r="R131" s="30" t="str">
        <f t="shared" si="36"/>
        <v/>
      </c>
      <c r="S131" s="30" t="str">
        <f>IF(A131=0,"",(((25.4/1000)*'Metric Data'!$AC$5*'Metric Data'!$AC$7)-E131)*($E$6/100))</f>
        <v/>
      </c>
      <c r="T131" s="30" t="str">
        <f t="shared" si="37"/>
        <v/>
      </c>
      <c r="U131" s="30" t="str">
        <f t="shared" si="38"/>
        <v/>
      </c>
      <c r="V131" s="30" t="str">
        <f t="shared" si="39"/>
        <v/>
      </c>
      <c r="W131" s="30" t="str">
        <f t="shared" si="40"/>
        <v/>
      </c>
    </row>
    <row r="132" spans="1:23" x14ac:dyDescent="0.2">
      <c r="A132" s="34">
        <f t="shared" si="25"/>
        <v>0</v>
      </c>
      <c r="B132" s="34">
        <v>119</v>
      </c>
      <c r="C132" s="34">
        <f t="shared" si="28"/>
        <v>0</v>
      </c>
      <c r="D132" s="30" t="str">
        <f>IF(A132=0,"",IF('Metric Data'!AG121&gt;=1, INDEX(Metric_Incremental[], MATCH('Metric Data'!AG121, Metric_Incremental[Height], 1), MATCH('Cumulative Volumes Metric'!$F$4, Metric_Incremental[#Headers], 0)), 0))</f>
        <v/>
      </c>
      <c r="E132" s="80" t="str">
        <f>IF(A132=0,"",IF('Metric Data'!AG121&gt;=1, INDEX(Metric_Incremental[], MATCH('Metric Data'!AG121, Metric_Incremental[Height], 1), MATCH('Cumulative Volumes Metric'!$F$4 &amp; "EC", Metric_Incremental[#Headers], 0)), 0))</f>
        <v/>
      </c>
      <c r="F132" s="30" t="str">
        <f t="shared" si="29"/>
        <v/>
      </c>
      <c r="G132" s="30" t="str">
        <f t="shared" si="30"/>
        <v/>
      </c>
      <c r="H132" s="30" t="str">
        <f>IF(A132=0,"",IF('Cumulative Volumes Metric'!$AR$17=FALSE,J132,I132))</f>
        <v/>
      </c>
      <c r="I132" s="30" t="str">
        <f t="shared" si="31"/>
        <v/>
      </c>
      <c r="J132" s="30" t="str">
        <f t="shared" si="32"/>
        <v/>
      </c>
      <c r="K132" s="30" t="str">
        <f>IF(A132=0,"",IF('Cumulative Volumes Metric'!$AR$17=FALSE,M132,L132))</f>
        <v/>
      </c>
      <c r="L132" s="30" t="str">
        <f t="shared" si="33"/>
        <v/>
      </c>
      <c r="M132" s="30" t="str">
        <f t="shared" si="34"/>
        <v/>
      </c>
      <c r="N132" s="30" t="str">
        <f>IF(($E$8/25.4)+45+($E$9/25.4)&gt;989,"FALSE",IF(A132="","",IF('Cumulative Volumes Metric'!$AR$17=FALSE,P132,O132)))</f>
        <v/>
      </c>
      <c r="O132" s="30" t="str">
        <f t="shared" si="35"/>
        <v/>
      </c>
      <c r="P132" s="30" t="str">
        <f>IF(A132=0,"",IF('Cumulative Volumes Metric'!$AR$17=FALSE,(U132*$E$4)+(V132*$E$5),O132))</f>
        <v/>
      </c>
      <c r="Q132" s="30" t="str">
        <f>IF(A132=0,"",(((25.4/1000)*'Metric Data'!$AC$4*'Metric Data'!$AC$5)-D132)*($E$6/100))</f>
        <v/>
      </c>
      <c r="R132" s="30" t="str">
        <f t="shared" si="36"/>
        <v/>
      </c>
      <c r="S132" s="30" t="str">
        <f>IF(A132=0,"",(((25.4/1000)*'Metric Data'!$AC$5*'Metric Data'!$AC$7)-E132)*($E$6/100))</f>
        <v/>
      </c>
      <c r="T132" s="30" t="str">
        <f t="shared" si="37"/>
        <v/>
      </c>
      <c r="U132" s="30" t="str">
        <f t="shared" si="38"/>
        <v/>
      </c>
      <c r="V132" s="30" t="str">
        <f t="shared" si="39"/>
        <v/>
      </c>
      <c r="W132" s="30" t="str">
        <f t="shared" si="40"/>
        <v/>
      </c>
    </row>
    <row r="133" spans="1:23" x14ac:dyDescent="0.2">
      <c r="A133" s="34">
        <f t="shared" si="25"/>
        <v>0</v>
      </c>
      <c r="B133" s="34">
        <v>120</v>
      </c>
      <c r="C133" s="34">
        <f t="shared" si="28"/>
        <v>0</v>
      </c>
      <c r="D133" s="30" t="str">
        <f>IF(A133=0,"",IF('Metric Data'!AG122&gt;=1, INDEX(Metric_Incremental[], MATCH('Metric Data'!AG122, Metric_Incremental[Height], 1), MATCH('Cumulative Volumes Metric'!$F$4, Metric_Incremental[#Headers], 0)), 0))</f>
        <v/>
      </c>
      <c r="E133" s="80" t="str">
        <f>IF(A133=0,"",IF('Metric Data'!AG122&gt;=1, INDEX(Metric_Incremental[], MATCH('Metric Data'!AG122, Metric_Incremental[Height], 1), MATCH('Cumulative Volumes Metric'!$F$4 &amp; "EC", Metric_Incremental[#Headers], 0)), 0))</f>
        <v/>
      </c>
      <c r="F133" s="30" t="str">
        <f t="shared" si="29"/>
        <v/>
      </c>
      <c r="G133" s="30" t="str">
        <f t="shared" si="30"/>
        <v/>
      </c>
      <c r="H133" s="30" t="str">
        <f>IF(A133=0,"",IF('Cumulative Volumes Metric'!$AR$17=FALSE,J133,I133))</f>
        <v/>
      </c>
      <c r="I133" s="30" t="str">
        <f t="shared" si="31"/>
        <v/>
      </c>
      <c r="J133" s="30" t="str">
        <f t="shared" si="32"/>
        <v/>
      </c>
      <c r="K133" s="30" t="str">
        <f>IF(A133=0,"",IF('Cumulative Volumes Metric'!$AR$17=FALSE,M133,L133))</f>
        <v/>
      </c>
      <c r="L133" s="30" t="str">
        <f t="shared" si="33"/>
        <v/>
      </c>
      <c r="M133" s="30" t="str">
        <f t="shared" si="34"/>
        <v/>
      </c>
      <c r="N133" s="30" t="str">
        <f>IF(($E$8/25.4)+45+($E$9/25.4)&gt;989,"FALSE",IF(A133="","",IF('Cumulative Volumes Metric'!$AR$17=FALSE,P133,O133)))</f>
        <v/>
      </c>
      <c r="O133" s="30" t="str">
        <f t="shared" si="35"/>
        <v/>
      </c>
      <c r="P133" s="30" t="str">
        <f>IF(A133=0,"",IF('Cumulative Volumes Metric'!$AR$17=FALSE,(U133*$E$4)+(V133*$E$5),O133))</f>
        <v/>
      </c>
      <c r="Q133" s="30" t="str">
        <f>IF(A133=0,"",(((25.4/1000)*'Metric Data'!$AC$4*'Metric Data'!$AC$5)-D133)*($E$6/100))</f>
        <v/>
      </c>
      <c r="R133" s="30" t="str">
        <f t="shared" si="36"/>
        <v/>
      </c>
      <c r="S133" s="30" t="str">
        <f>IF(A133=0,"",(((25.4/1000)*'Metric Data'!$AC$5*'Metric Data'!$AC$7)-E133)*($E$6/100))</f>
        <v/>
      </c>
      <c r="T133" s="30" t="str">
        <f t="shared" si="37"/>
        <v/>
      </c>
      <c r="U133" s="30" t="str">
        <f t="shared" si="38"/>
        <v/>
      </c>
      <c r="V133" s="30" t="str">
        <f t="shared" si="39"/>
        <v/>
      </c>
      <c r="W133" s="30" t="str">
        <f t="shared" si="40"/>
        <v/>
      </c>
    </row>
    <row r="134" spans="1:23" x14ac:dyDescent="0.2">
      <c r="A134" s="34">
        <f t="shared" si="25"/>
        <v>0</v>
      </c>
      <c r="B134" s="34">
        <v>121</v>
      </c>
      <c r="C134" s="34">
        <f t="shared" si="28"/>
        <v>0</v>
      </c>
      <c r="D134" s="30" t="str">
        <f>IF(A134=0,"",IF('Metric Data'!AG123&gt;=1, INDEX(Metric_Incremental[], MATCH('Metric Data'!AG123, Metric_Incremental[Height], 1), MATCH('Cumulative Volumes Metric'!$F$4, Metric_Incremental[#Headers], 0)), 0))</f>
        <v/>
      </c>
      <c r="E134" s="80" t="str">
        <f>IF(A134=0,"",IF('Metric Data'!AG123&gt;=1, INDEX(Metric_Incremental[], MATCH('Metric Data'!AG123, Metric_Incremental[Height], 1), MATCH('Cumulative Volumes Metric'!$F$4 &amp; "EC", Metric_Incremental[#Headers], 0)), 0))</f>
        <v/>
      </c>
      <c r="F134" s="30" t="str">
        <f t="shared" si="29"/>
        <v/>
      </c>
      <c r="G134" s="30" t="str">
        <f t="shared" si="30"/>
        <v/>
      </c>
      <c r="H134" s="30" t="str">
        <f>IF(A134=0,"",IF('Cumulative Volumes Metric'!$AR$17=FALSE,J134,I134))</f>
        <v/>
      </c>
      <c r="I134" s="30" t="str">
        <f t="shared" si="31"/>
        <v/>
      </c>
      <c r="J134" s="30" t="str">
        <f t="shared" si="32"/>
        <v/>
      </c>
      <c r="K134" s="30" t="str">
        <f>IF(A134=0,"",IF('Cumulative Volumes Metric'!$AR$17=FALSE,M134,L134))</f>
        <v/>
      </c>
      <c r="L134" s="30" t="str">
        <f t="shared" si="33"/>
        <v/>
      </c>
      <c r="M134" s="30" t="str">
        <f t="shared" si="34"/>
        <v/>
      </c>
      <c r="N134" s="30" t="str">
        <f>IF(($E$8/25.4)+45+($E$9/25.4)&gt;989,"FALSE",IF(A134="","",IF('Cumulative Volumes Metric'!$AR$17=FALSE,P134,O134)))</f>
        <v/>
      </c>
      <c r="O134" s="30" t="str">
        <f t="shared" si="35"/>
        <v/>
      </c>
      <c r="P134" s="30" t="str">
        <f>IF(A134=0,"",IF('Cumulative Volumes Metric'!$AR$17=FALSE,(U134*$E$4)+(V134*$E$5),O134))</f>
        <v/>
      </c>
      <c r="Q134" s="30" t="str">
        <f>IF(A134=0,"",(((25.4/1000)*'Metric Data'!$AC$4*'Metric Data'!$AC$5)-D134)*($E$6/100))</f>
        <v/>
      </c>
      <c r="R134" s="30" t="str">
        <f t="shared" si="36"/>
        <v/>
      </c>
      <c r="S134" s="30" t="str">
        <f>IF(A134=0,"",(((25.4/1000)*'Metric Data'!$AC$5*'Metric Data'!$AC$7)-E134)*($E$6/100))</f>
        <v/>
      </c>
      <c r="T134" s="30" t="str">
        <f t="shared" si="37"/>
        <v/>
      </c>
      <c r="U134" s="30" t="str">
        <f t="shared" si="38"/>
        <v/>
      </c>
      <c r="V134" s="30" t="str">
        <f t="shared" si="39"/>
        <v/>
      </c>
      <c r="W134" s="30" t="str">
        <f t="shared" si="40"/>
        <v/>
      </c>
    </row>
    <row r="135" spans="1:23" x14ac:dyDescent="0.2">
      <c r="A135" s="34">
        <f t="shared" si="25"/>
        <v>0</v>
      </c>
      <c r="B135" s="34">
        <v>122</v>
      </c>
      <c r="C135" s="34">
        <f t="shared" si="28"/>
        <v>0</v>
      </c>
      <c r="D135" s="30" t="str">
        <f>IF(A135=0,"",IF('Metric Data'!AG124&gt;=1, INDEX(Metric_Incremental[], MATCH('Metric Data'!AG124, Metric_Incremental[Height], 1), MATCH('Cumulative Volumes Metric'!$F$4, Metric_Incremental[#Headers], 0)), 0))</f>
        <v/>
      </c>
      <c r="E135" s="80" t="str">
        <f>IF(A135=0,"",IF('Metric Data'!AG124&gt;=1, INDEX(Metric_Incremental[], MATCH('Metric Data'!AG124, Metric_Incremental[Height], 1), MATCH('Cumulative Volumes Metric'!$F$4 &amp; "EC", Metric_Incremental[#Headers], 0)), 0))</f>
        <v/>
      </c>
      <c r="F135" s="30" t="str">
        <f t="shared" si="29"/>
        <v/>
      </c>
      <c r="G135" s="30" t="str">
        <f t="shared" si="30"/>
        <v/>
      </c>
      <c r="H135" s="30" t="str">
        <f>IF(A135=0,"",IF('Cumulative Volumes Metric'!$AR$17=FALSE,J135,I135))</f>
        <v/>
      </c>
      <c r="I135" s="30" t="str">
        <f t="shared" si="31"/>
        <v/>
      </c>
      <c r="J135" s="30" t="str">
        <f t="shared" si="32"/>
        <v/>
      </c>
      <c r="K135" s="30" t="str">
        <f>IF(A135=0,"",IF('Cumulative Volumes Metric'!$AR$17=FALSE,M135,L135))</f>
        <v/>
      </c>
      <c r="L135" s="30" t="str">
        <f t="shared" si="33"/>
        <v/>
      </c>
      <c r="M135" s="30" t="str">
        <f t="shared" si="34"/>
        <v/>
      </c>
      <c r="N135" s="30" t="str">
        <f>IF(($E$8/25.4)+45+($E$9/25.4)&gt;989,"FALSE",IF(A135="","",IF('Cumulative Volumes Metric'!$AR$17=FALSE,P135,O135)))</f>
        <v/>
      </c>
      <c r="O135" s="30" t="str">
        <f t="shared" si="35"/>
        <v/>
      </c>
      <c r="P135" s="30" t="str">
        <f>IF(A135=0,"",IF('Cumulative Volumes Metric'!$AR$17=FALSE,(U135*$E$4)+(V135*$E$5),O135))</f>
        <v/>
      </c>
      <c r="Q135" s="30" t="str">
        <f>IF(A135=0,"",(((25.4/1000)*'Metric Data'!$AC$4*'Metric Data'!$AC$5)-D135)*($E$6/100))</f>
        <v/>
      </c>
      <c r="R135" s="30" t="str">
        <f t="shared" si="36"/>
        <v/>
      </c>
      <c r="S135" s="30" t="str">
        <f>IF(A135=0,"",(((25.4/1000)*'Metric Data'!$AC$5*'Metric Data'!$AC$7)-E135)*($E$6/100))</f>
        <v/>
      </c>
      <c r="T135" s="30" t="str">
        <f t="shared" si="37"/>
        <v/>
      </c>
      <c r="U135" s="30" t="str">
        <f t="shared" si="38"/>
        <v/>
      </c>
      <c r="V135" s="30" t="str">
        <f t="shared" si="39"/>
        <v/>
      </c>
      <c r="W135" s="30" t="str">
        <f t="shared" si="40"/>
        <v/>
      </c>
    </row>
    <row r="136" spans="1:23" x14ac:dyDescent="0.2">
      <c r="A136" s="34">
        <f t="shared" si="25"/>
        <v>0</v>
      </c>
      <c r="B136" s="34">
        <v>123</v>
      </c>
      <c r="C136" s="34">
        <f t="shared" si="28"/>
        <v>0</v>
      </c>
      <c r="D136" s="30" t="str">
        <f>IF(A136=0,"",IF('Metric Data'!AG125&gt;=1, INDEX(Metric_Incremental[], MATCH('Metric Data'!AG125, Metric_Incremental[Height], 1), MATCH('Cumulative Volumes Metric'!$F$4, Metric_Incremental[#Headers], 0)), 0))</f>
        <v/>
      </c>
      <c r="E136" s="80" t="str">
        <f>IF(A136=0,"",IF('Metric Data'!AG125&gt;=1, INDEX(Metric_Incremental[], MATCH('Metric Data'!AG125, Metric_Incremental[Height], 1), MATCH('Cumulative Volumes Metric'!$F$4 &amp; "EC", Metric_Incremental[#Headers], 0)), 0))</f>
        <v/>
      </c>
      <c r="F136" s="30" t="str">
        <f t="shared" si="29"/>
        <v/>
      </c>
      <c r="G136" s="30" t="str">
        <f t="shared" si="30"/>
        <v/>
      </c>
      <c r="H136" s="30" t="str">
        <f>IF(A136=0,"",IF('Cumulative Volumes Metric'!$AR$17=FALSE,J136,I136))</f>
        <v/>
      </c>
      <c r="I136" s="30" t="str">
        <f t="shared" si="31"/>
        <v/>
      </c>
      <c r="J136" s="30" t="str">
        <f t="shared" si="32"/>
        <v/>
      </c>
      <c r="K136" s="30" t="str">
        <f>IF(A136=0,"",IF('Cumulative Volumes Metric'!$AR$17=FALSE,M136,L136))</f>
        <v/>
      </c>
      <c r="L136" s="30" t="str">
        <f t="shared" si="33"/>
        <v/>
      </c>
      <c r="M136" s="30" t="str">
        <f t="shared" si="34"/>
        <v/>
      </c>
      <c r="N136" s="30" t="str">
        <f>IF(($E$8/25.4)+45+($E$9/25.4)&gt;989,"FALSE",IF(A136="","",IF('Cumulative Volumes Metric'!$AR$17=FALSE,P136,O136)))</f>
        <v/>
      </c>
      <c r="O136" s="30" t="str">
        <f t="shared" si="35"/>
        <v/>
      </c>
      <c r="P136" s="30" t="str">
        <f>IF(A136=0,"",IF('Cumulative Volumes Metric'!$AR$17=FALSE,(U136*$E$4)+(V136*$E$5),O136))</f>
        <v/>
      </c>
      <c r="Q136" s="30" t="str">
        <f>IF(A136=0,"",(((25.4/1000)*'Metric Data'!$AC$4*'Metric Data'!$AC$5)-D136)*($E$6/100))</f>
        <v/>
      </c>
      <c r="R136" s="30" t="str">
        <f t="shared" si="36"/>
        <v/>
      </c>
      <c r="S136" s="30" t="str">
        <f>IF(A136=0,"",(((25.4/1000)*'Metric Data'!$AC$5*'Metric Data'!$AC$7)-E136)*($E$6/100))</f>
        <v/>
      </c>
      <c r="T136" s="30" t="str">
        <f t="shared" si="37"/>
        <v/>
      </c>
      <c r="U136" s="30" t="str">
        <f t="shared" si="38"/>
        <v/>
      </c>
      <c r="V136" s="30" t="str">
        <f t="shared" si="39"/>
        <v/>
      </c>
      <c r="W136" s="30" t="str">
        <f t="shared" si="40"/>
        <v/>
      </c>
    </row>
    <row r="137" spans="1:23" x14ac:dyDescent="0.2">
      <c r="A137" s="34">
        <f t="shared" si="25"/>
        <v>0</v>
      </c>
      <c r="B137" s="34">
        <v>124</v>
      </c>
      <c r="C137" s="34">
        <f t="shared" si="28"/>
        <v>0</v>
      </c>
      <c r="D137" s="30" t="str">
        <f>IF(A137=0,"",IF('Metric Data'!AG126&gt;=1, INDEX(Metric_Incremental[], MATCH('Metric Data'!AG126, Metric_Incremental[Height], 1), MATCH('Cumulative Volumes Metric'!$F$4, Metric_Incremental[#Headers], 0)), 0))</f>
        <v/>
      </c>
      <c r="E137" s="80" t="str">
        <f>IF(A137=0,"",IF('Metric Data'!AG126&gt;=1, INDEX(Metric_Incremental[], MATCH('Metric Data'!AG126, Metric_Incremental[Height], 1), MATCH('Cumulative Volumes Metric'!$F$4 &amp; "EC", Metric_Incremental[#Headers], 0)), 0))</f>
        <v/>
      </c>
      <c r="F137" s="30" t="str">
        <f t="shared" si="29"/>
        <v/>
      </c>
      <c r="G137" s="30" t="str">
        <f t="shared" si="30"/>
        <v/>
      </c>
      <c r="H137" s="30" t="str">
        <f>IF(A137=0,"",IF('Cumulative Volumes Metric'!$AR$17=FALSE,J137,I137))</f>
        <v/>
      </c>
      <c r="I137" s="30" t="str">
        <f t="shared" si="31"/>
        <v/>
      </c>
      <c r="J137" s="30" t="str">
        <f t="shared" si="32"/>
        <v/>
      </c>
      <c r="K137" s="30" t="str">
        <f>IF(A137=0,"",IF('Cumulative Volumes Metric'!$AR$17=FALSE,M137,L137))</f>
        <v/>
      </c>
      <c r="L137" s="30" t="str">
        <f t="shared" si="33"/>
        <v/>
      </c>
      <c r="M137" s="30" t="str">
        <f t="shared" si="34"/>
        <v/>
      </c>
      <c r="N137" s="30" t="str">
        <f>IF(($E$8/25.4)+45+($E$9/25.4)&gt;989,"FALSE",IF(A137="","",IF('Cumulative Volumes Metric'!$AR$17=FALSE,P137,O137)))</f>
        <v/>
      </c>
      <c r="O137" s="30" t="str">
        <f t="shared" si="35"/>
        <v/>
      </c>
      <c r="P137" s="30" t="str">
        <f>IF(A137=0,"",IF('Cumulative Volumes Metric'!$AR$17=FALSE,(U137*$E$4)+(V137*$E$5),O137))</f>
        <v/>
      </c>
      <c r="Q137" s="30" t="str">
        <f>IF(A137=0,"",(((25.4/1000)*'Metric Data'!$AC$4*'Metric Data'!$AC$5)-D137)*($E$6/100))</f>
        <v/>
      </c>
      <c r="R137" s="30" t="str">
        <f t="shared" si="36"/>
        <v/>
      </c>
      <c r="S137" s="30" t="str">
        <f>IF(A137=0,"",(((25.4/1000)*'Metric Data'!$AC$5*'Metric Data'!$AC$7)-E137)*($E$6/100))</f>
        <v/>
      </c>
      <c r="T137" s="30" t="str">
        <f t="shared" si="37"/>
        <v/>
      </c>
      <c r="U137" s="30" t="str">
        <f t="shared" si="38"/>
        <v/>
      </c>
      <c r="V137" s="30" t="str">
        <f t="shared" si="39"/>
        <v/>
      </c>
      <c r="W137" s="30" t="str">
        <f t="shared" si="40"/>
        <v/>
      </c>
    </row>
    <row r="138" spans="1:23" x14ac:dyDescent="0.2">
      <c r="A138" s="34">
        <f t="shared" si="25"/>
        <v>0</v>
      </c>
      <c r="B138" s="34">
        <v>125</v>
      </c>
      <c r="C138" s="34">
        <f t="shared" si="28"/>
        <v>0</v>
      </c>
      <c r="D138" s="30" t="str">
        <f>IF(A138=0,"",IF('Metric Data'!AG127&gt;=1, INDEX(Metric_Incremental[], MATCH('Metric Data'!AG127, Metric_Incremental[Height], 1), MATCH('Cumulative Volumes Metric'!$F$4, Metric_Incremental[#Headers], 0)), 0))</f>
        <v/>
      </c>
      <c r="E138" s="80" t="str">
        <f>IF(A138=0,"",IF('Metric Data'!AG127&gt;=1, INDEX(Metric_Incremental[], MATCH('Metric Data'!AG127, Metric_Incremental[Height], 1), MATCH('Cumulative Volumes Metric'!$F$4 &amp; "EC", Metric_Incremental[#Headers], 0)), 0))</f>
        <v/>
      </c>
      <c r="F138" s="30" t="str">
        <f t="shared" si="29"/>
        <v/>
      </c>
      <c r="G138" s="30" t="str">
        <f t="shared" si="30"/>
        <v/>
      </c>
      <c r="H138" s="30" t="str">
        <f>IF(A138=0,"",IF('Cumulative Volumes Metric'!$AR$17=FALSE,J138,I138))</f>
        <v/>
      </c>
      <c r="I138" s="30" t="str">
        <f t="shared" si="31"/>
        <v/>
      </c>
      <c r="J138" s="30" t="str">
        <f t="shared" si="32"/>
        <v/>
      </c>
      <c r="K138" s="30" t="str">
        <f>IF(A138=0,"",IF('Cumulative Volumes Metric'!$AR$17=FALSE,M138,L138))</f>
        <v/>
      </c>
      <c r="L138" s="30" t="str">
        <f t="shared" si="33"/>
        <v/>
      </c>
      <c r="M138" s="30" t="str">
        <f t="shared" si="34"/>
        <v/>
      </c>
      <c r="N138" s="30" t="str">
        <f>IF(($E$8/25.4)+45+($E$9/25.4)&gt;989,"FALSE",IF(A138="","",IF('Cumulative Volumes Metric'!$AR$17=FALSE,P138,O138)))</f>
        <v/>
      </c>
      <c r="O138" s="30" t="str">
        <f t="shared" si="35"/>
        <v/>
      </c>
      <c r="P138" s="30" t="str">
        <f>IF(A138=0,"",IF('Cumulative Volumes Metric'!$AR$17=FALSE,(U138*$E$4)+(V138*$E$5),O138))</f>
        <v/>
      </c>
      <c r="Q138" s="30" t="str">
        <f>IF(A138=0,"",(((25.4/1000)*'Metric Data'!$AC$4*'Metric Data'!$AC$5)-D138)*($E$6/100))</f>
        <v/>
      </c>
      <c r="R138" s="30" t="str">
        <f t="shared" si="36"/>
        <v/>
      </c>
      <c r="S138" s="30" t="str">
        <f>IF(A138=0,"",(((25.4/1000)*'Metric Data'!$AC$5*'Metric Data'!$AC$7)-E138)*($E$6/100))</f>
        <v/>
      </c>
      <c r="T138" s="30" t="str">
        <f t="shared" si="37"/>
        <v/>
      </c>
      <c r="U138" s="30" t="str">
        <f t="shared" si="38"/>
        <v/>
      </c>
      <c r="V138" s="30" t="str">
        <f t="shared" si="39"/>
        <v/>
      </c>
      <c r="W138" s="30" t="str">
        <f t="shared" si="40"/>
        <v/>
      </c>
    </row>
    <row r="139" spans="1:23" x14ac:dyDescent="0.2">
      <c r="A139" s="34">
        <f t="shared" si="25"/>
        <v>0</v>
      </c>
      <c r="B139" s="34">
        <v>126</v>
      </c>
      <c r="C139" s="34">
        <f t="shared" si="28"/>
        <v>0</v>
      </c>
      <c r="D139" s="30" t="str">
        <f>IF(A139=0,"",IF('Metric Data'!AG128&gt;=1, INDEX(Metric_Incremental[], MATCH('Metric Data'!AG128, Metric_Incremental[Height], 1), MATCH('Cumulative Volumes Metric'!$F$4, Metric_Incremental[#Headers], 0)), 0))</f>
        <v/>
      </c>
      <c r="E139" s="80" t="str">
        <f>IF(A139=0,"",IF('Metric Data'!AG128&gt;=1, INDEX(Metric_Incremental[], MATCH('Metric Data'!AG128, Metric_Incremental[Height], 1), MATCH('Cumulative Volumes Metric'!$F$4 &amp; "EC", Metric_Incremental[#Headers], 0)), 0))</f>
        <v/>
      </c>
      <c r="F139" s="30" t="str">
        <f t="shared" si="29"/>
        <v/>
      </c>
      <c r="G139" s="30" t="str">
        <f t="shared" si="30"/>
        <v/>
      </c>
      <c r="H139" s="30" t="str">
        <f>IF(A139=0,"",IF('Cumulative Volumes Metric'!$AR$17=FALSE,J139,I139))</f>
        <v/>
      </c>
      <c r="I139" s="30" t="str">
        <f t="shared" si="31"/>
        <v/>
      </c>
      <c r="J139" s="30" t="str">
        <f t="shared" si="32"/>
        <v/>
      </c>
      <c r="K139" s="30" t="str">
        <f>IF(A139=0,"",IF('Cumulative Volumes Metric'!$AR$17=FALSE,M139,L139))</f>
        <v/>
      </c>
      <c r="L139" s="30" t="str">
        <f t="shared" si="33"/>
        <v/>
      </c>
      <c r="M139" s="30" t="str">
        <f t="shared" si="34"/>
        <v/>
      </c>
      <c r="N139" s="30" t="str">
        <f>IF(($E$8/25.4)+45+($E$9/25.4)&gt;989,"FALSE",IF(A139="","",IF('Cumulative Volumes Metric'!$AR$17=FALSE,P139,O139)))</f>
        <v/>
      </c>
      <c r="O139" s="30" t="str">
        <f t="shared" si="35"/>
        <v/>
      </c>
      <c r="P139" s="30" t="str">
        <f>IF(A139=0,"",IF('Cumulative Volumes Metric'!$AR$17=FALSE,(U139*$E$4)+(V139*$E$5),O139))</f>
        <v/>
      </c>
      <c r="Q139" s="30" t="str">
        <f>IF(A139=0,"",(((25.4/1000)*'Metric Data'!$AC$4*'Metric Data'!$AC$5)-D139)*($E$6/100))</f>
        <v/>
      </c>
      <c r="R139" s="30" t="str">
        <f t="shared" si="36"/>
        <v/>
      </c>
      <c r="S139" s="30" t="str">
        <f>IF(A139=0,"",(((25.4/1000)*'Metric Data'!$AC$5*'Metric Data'!$AC$7)-E139)*($E$6/100))</f>
        <v/>
      </c>
      <c r="T139" s="30" t="str">
        <f t="shared" si="37"/>
        <v/>
      </c>
      <c r="U139" s="30" t="str">
        <f t="shared" si="38"/>
        <v/>
      </c>
      <c r="V139" s="30" t="str">
        <f t="shared" si="39"/>
        <v/>
      </c>
      <c r="W139" s="30" t="str">
        <f t="shared" si="40"/>
        <v/>
      </c>
    </row>
    <row r="140" spans="1:23" x14ac:dyDescent="0.2">
      <c r="A140" s="34">
        <f t="shared" si="25"/>
        <v>0</v>
      </c>
      <c r="B140" s="34">
        <v>127</v>
      </c>
      <c r="C140" s="34">
        <f t="shared" si="28"/>
        <v>0</v>
      </c>
      <c r="D140" s="30" t="str">
        <f>IF(A140=0,"",IF('Metric Data'!AG129&gt;=1, INDEX(Metric_Incremental[], MATCH('Metric Data'!AG129, Metric_Incremental[Height], 1), MATCH('Cumulative Volumes Metric'!$F$4, Metric_Incremental[#Headers], 0)), 0))</f>
        <v/>
      </c>
      <c r="E140" s="80" t="str">
        <f>IF(A140=0,"",IF('Metric Data'!AG129&gt;=1, INDEX(Metric_Incremental[], MATCH('Metric Data'!AG129, Metric_Incremental[Height], 1), MATCH('Cumulative Volumes Metric'!$F$4 &amp; "EC", Metric_Incremental[#Headers], 0)), 0))</f>
        <v/>
      </c>
      <c r="F140" s="30" t="str">
        <f t="shared" si="29"/>
        <v/>
      </c>
      <c r="G140" s="30" t="str">
        <f t="shared" si="30"/>
        <v/>
      </c>
      <c r="H140" s="30" t="str">
        <f>IF(A140=0,"",IF('Cumulative Volumes Metric'!$AR$17=FALSE,J140,I140))</f>
        <v/>
      </c>
      <c r="I140" s="30" t="str">
        <f t="shared" si="31"/>
        <v/>
      </c>
      <c r="J140" s="30" t="str">
        <f t="shared" si="32"/>
        <v/>
      </c>
      <c r="K140" s="30" t="str">
        <f>IF(A140=0,"",IF('Cumulative Volumes Metric'!$AR$17=FALSE,M140,L140))</f>
        <v/>
      </c>
      <c r="L140" s="30" t="str">
        <f t="shared" si="33"/>
        <v/>
      </c>
      <c r="M140" s="30" t="str">
        <f t="shared" si="34"/>
        <v/>
      </c>
      <c r="N140" s="30" t="str">
        <f>IF(($E$8/25.4)+45+($E$9/25.4)&gt;989,"FALSE",IF(A140="","",IF('Cumulative Volumes Metric'!$AR$17=FALSE,P140,O140)))</f>
        <v/>
      </c>
      <c r="O140" s="30" t="str">
        <f t="shared" si="35"/>
        <v/>
      </c>
      <c r="P140" s="30" t="str">
        <f>IF(A140=0,"",IF('Cumulative Volumes Metric'!$AR$17=FALSE,(U140*$E$4)+(V140*$E$5),O140))</f>
        <v/>
      </c>
      <c r="Q140" s="30" t="str">
        <f>IF(A140=0,"",(((25.4/1000)*'Metric Data'!$AC$4*'Metric Data'!$AC$5)-D140)*($E$6/100))</f>
        <v/>
      </c>
      <c r="R140" s="30" t="str">
        <f t="shared" si="36"/>
        <v/>
      </c>
      <c r="S140" s="30" t="str">
        <f>IF(A140=0,"",(((25.4/1000)*'Metric Data'!$AC$5*'Metric Data'!$AC$7)-E140)*($E$6/100))</f>
        <v/>
      </c>
      <c r="T140" s="30" t="str">
        <f t="shared" si="37"/>
        <v/>
      </c>
      <c r="U140" s="30" t="str">
        <f t="shared" si="38"/>
        <v/>
      </c>
      <c r="V140" s="30" t="str">
        <f t="shared" si="39"/>
        <v/>
      </c>
      <c r="W140" s="30" t="str">
        <f t="shared" si="40"/>
        <v/>
      </c>
    </row>
    <row r="141" spans="1:23" x14ac:dyDescent="0.2">
      <c r="A141" s="34">
        <f t="shared" si="25"/>
        <v>0</v>
      </c>
      <c r="B141" s="34">
        <v>128</v>
      </c>
      <c r="C141" s="34">
        <f t="shared" si="28"/>
        <v>0</v>
      </c>
      <c r="D141" s="30" t="str">
        <f>IF(A141=0,"",IF('Metric Data'!AG130&gt;=1, INDEX(Metric_Incremental[], MATCH('Metric Data'!AG130, Metric_Incremental[Height], 1), MATCH('Cumulative Volumes Metric'!$F$4, Metric_Incremental[#Headers], 0)), 0))</f>
        <v/>
      </c>
      <c r="E141" s="80" t="str">
        <f>IF(A141=0,"",IF('Metric Data'!AG130&gt;=1, INDEX(Metric_Incremental[], MATCH('Metric Data'!AG130, Metric_Incremental[Height], 1), MATCH('Cumulative Volumes Metric'!$F$4 &amp; "EC", Metric_Incremental[#Headers], 0)), 0))</f>
        <v/>
      </c>
      <c r="F141" s="30" t="str">
        <f t="shared" si="29"/>
        <v/>
      </c>
      <c r="G141" s="30" t="str">
        <f t="shared" si="30"/>
        <v/>
      </c>
      <c r="H141" s="30" t="str">
        <f>IF(A141=0,"",IF('Cumulative Volumes Metric'!$AR$17=FALSE,J141,I141))</f>
        <v/>
      </c>
      <c r="I141" s="30" t="str">
        <f t="shared" si="31"/>
        <v/>
      </c>
      <c r="J141" s="30" t="str">
        <f t="shared" si="32"/>
        <v/>
      </c>
      <c r="K141" s="30" t="str">
        <f>IF(A141=0,"",IF('Cumulative Volumes Metric'!$AR$17=FALSE,M141,L141))</f>
        <v/>
      </c>
      <c r="L141" s="30" t="str">
        <f t="shared" si="33"/>
        <v/>
      </c>
      <c r="M141" s="30" t="str">
        <f t="shared" si="34"/>
        <v/>
      </c>
      <c r="N141" s="30" t="str">
        <f>IF(($E$8/25.4)+45+($E$9/25.4)&gt;989,"FALSE",IF(A141="","",IF('Cumulative Volumes Metric'!$AR$17=FALSE,P141,O141)))</f>
        <v/>
      </c>
      <c r="O141" s="30" t="str">
        <f t="shared" si="35"/>
        <v/>
      </c>
      <c r="P141" s="30" t="str">
        <f>IF(A141=0,"",IF('Cumulative Volumes Metric'!$AR$17=FALSE,(U141*$E$4)+(V141*$E$5),O141))</f>
        <v/>
      </c>
      <c r="Q141" s="30" t="str">
        <f>IF(A141=0,"",(((25.4/1000)*'Metric Data'!$AC$4*'Metric Data'!$AC$5)-D141)*($E$6/100))</f>
        <v/>
      </c>
      <c r="R141" s="30" t="str">
        <f t="shared" si="36"/>
        <v/>
      </c>
      <c r="S141" s="30" t="str">
        <f>IF(A141=0,"",(((25.4/1000)*'Metric Data'!$AC$5*'Metric Data'!$AC$7)-E141)*($E$6/100))</f>
        <v/>
      </c>
      <c r="T141" s="30" t="str">
        <f t="shared" si="37"/>
        <v/>
      </c>
      <c r="U141" s="30" t="str">
        <f t="shared" si="38"/>
        <v/>
      </c>
      <c r="V141" s="30" t="str">
        <f t="shared" si="39"/>
        <v/>
      </c>
      <c r="W141" s="30" t="str">
        <f t="shared" si="40"/>
        <v/>
      </c>
    </row>
    <row r="142" spans="1:23" x14ac:dyDescent="0.2">
      <c r="A142" s="34">
        <f t="shared" si="25"/>
        <v>0</v>
      </c>
      <c r="B142" s="34">
        <v>129</v>
      </c>
      <c r="C142" s="34">
        <f t="shared" si="28"/>
        <v>0</v>
      </c>
      <c r="D142" s="30" t="str">
        <f>IF(A142=0,"",IF('Metric Data'!AG131&gt;=1, INDEX(Metric_Incremental[], MATCH('Metric Data'!AG131, Metric_Incremental[Height], 1), MATCH('Cumulative Volumes Metric'!$F$4, Metric_Incremental[#Headers], 0)), 0))</f>
        <v/>
      </c>
      <c r="E142" s="80" t="str">
        <f>IF(A142=0,"",IF('Metric Data'!AG131&gt;=1, INDEX(Metric_Incremental[], MATCH('Metric Data'!AG131, Metric_Incremental[Height], 1), MATCH('Cumulative Volumes Metric'!$F$4 &amp; "EC", Metric_Incremental[#Headers], 0)), 0))</f>
        <v/>
      </c>
      <c r="F142" s="30" t="str">
        <f t="shared" si="29"/>
        <v/>
      </c>
      <c r="G142" s="30" t="str">
        <f t="shared" si="30"/>
        <v/>
      </c>
      <c r="H142" s="30" t="str">
        <f>IF(A142=0,"",IF('Cumulative Volumes Metric'!$AR$17=FALSE,J142,I142))</f>
        <v/>
      </c>
      <c r="I142" s="30" t="str">
        <f t="shared" si="31"/>
        <v/>
      </c>
      <c r="J142" s="30" t="str">
        <f t="shared" si="32"/>
        <v/>
      </c>
      <c r="K142" s="30" t="str">
        <f>IF(A142=0,"",IF('Cumulative Volumes Metric'!$AR$17=FALSE,M142,L142))</f>
        <v/>
      </c>
      <c r="L142" s="30" t="str">
        <f t="shared" si="33"/>
        <v/>
      </c>
      <c r="M142" s="30" t="str">
        <f t="shared" si="34"/>
        <v/>
      </c>
      <c r="N142" s="30" t="str">
        <f>IF(($E$8/25.4)+45+($E$9/25.4)&gt;989,"FALSE",IF(A142="","",IF('Cumulative Volumes Metric'!$AR$17=FALSE,P142,O142)))</f>
        <v/>
      </c>
      <c r="O142" s="30" t="str">
        <f t="shared" si="35"/>
        <v/>
      </c>
      <c r="P142" s="30" t="str">
        <f>IF(A142=0,"",IF('Cumulative Volumes Metric'!$AR$17=FALSE,(U142*$E$4)+(V142*$E$5),O142))</f>
        <v/>
      </c>
      <c r="Q142" s="30" t="str">
        <f>IF(A142=0,"",(((25.4/1000)*'Metric Data'!$AC$4*'Metric Data'!$AC$5)-D142)*($E$6/100))</f>
        <v/>
      </c>
      <c r="R142" s="30" t="str">
        <f t="shared" si="36"/>
        <v/>
      </c>
      <c r="S142" s="30" t="str">
        <f>IF(A142=0,"",(((25.4/1000)*'Metric Data'!$AC$5*'Metric Data'!$AC$7)-E142)*($E$6/100))</f>
        <v/>
      </c>
      <c r="T142" s="30" t="str">
        <f t="shared" si="37"/>
        <v/>
      </c>
      <c r="U142" s="30" t="str">
        <f t="shared" si="38"/>
        <v/>
      </c>
      <c r="V142" s="30" t="str">
        <f t="shared" si="39"/>
        <v/>
      </c>
      <c r="W142" s="30" t="str">
        <f t="shared" si="40"/>
        <v/>
      </c>
    </row>
    <row r="143" spans="1:23" x14ac:dyDescent="0.2">
      <c r="A143" s="34">
        <f t="shared" ref="A143:A206" si="41">IF(A142=0,0,IF(A142=" ","",IF(A142-1&gt;0,A142-1,0)))</f>
        <v>0</v>
      </c>
      <c r="B143" s="34">
        <v>130</v>
      </c>
      <c r="C143" s="34">
        <f t="shared" si="28"/>
        <v>0</v>
      </c>
      <c r="D143" s="30" t="str">
        <f>IF(A143=0,"",IF('Metric Data'!AG132&gt;=1, INDEX(Metric_Incremental[], MATCH('Metric Data'!AG132, Metric_Incremental[Height], 1), MATCH('Cumulative Volumes Metric'!$F$4, Metric_Incremental[#Headers], 0)), 0))</f>
        <v/>
      </c>
      <c r="E143" s="80" t="str">
        <f>IF(A143=0,"",IF('Metric Data'!AG132&gt;=1, INDEX(Metric_Incremental[], MATCH('Metric Data'!AG132, Metric_Incremental[Height], 1), MATCH('Cumulative Volumes Metric'!$F$4 &amp; "EC", Metric_Incremental[#Headers], 0)), 0))</f>
        <v/>
      </c>
      <c r="F143" s="30" t="str">
        <f t="shared" si="29"/>
        <v/>
      </c>
      <c r="G143" s="30" t="str">
        <f t="shared" si="30"/>
        <v/>
      </c>
      <c r="H143" s="30" t="str">
        <f>IF(A143=0,"",IF('Cumulative Volumes Metric'!$AR$17=FALSE,J143,I143))</f>
        <v/>
      </c>
      <c r="I143" s="30" t="str">
        <f t="shared" si="31"/>
        <v/>
      </c>
      <c r="J143" s="30" t="str">
        <f t="shared" si="32"/>
        <v/>
      </c>
      <c r="K143" s="30" t="str">
        <f>IF(A143=0,"",IF('Cumulative Volumes Metric'!$AR$17=FALSE,M143,L143))</f>
        <v/>
      </c>
      <c r="L143" s="30" t="str">
        <f t="shared" si="33"/>
        <v/>
      </c>
      <c r="M143" s="30" t="str">
        <f t="shared" si="34"/>
        <v/>
      </c>
      <c r="N143" s="30" t="str">
        <f>IF(($E$8/25.4)+45+($E$9/25.4)&gt;989,"FALSE",IF(A143="","",IF('Cumulative Volumes Metric'!$AR$17=FALSE,P143,O143)))</f>
        <v/>
      </c>
      <c r="O143" s="30" t="str">
        <f t="shared" si="35"/>
        <v/>
      </c>
      <c r="P143" s="30" t="str">
        <f>IF(A143=0,"",IF('Cumulative Volumes Metric'!$AR$17=FALSE,(U143*$E$4)+(V143*$E$5),O143))</f>
        <v/>
      </c>
      <c r="Q143" s="30" t="str">
        <f>IF(A143=0,"",(((25.4/1000)*'Metric Data'!$AC$4*'Metric Data'!$AC$5)-D143)*($E$6/100))</f>
        <v/>
      </c>
      <c r="R143" s="30" t="str">
        <f t="shared" si="36"/>
        <v/>
      </c>
      <c r="S143" s="30" t="str">
        <f>IF(A143=0,"",(((25.4/1000)*'Metric Data'!$AC$5*'Metric Data'!$AC$7)-E143)*($E$6/100))</f>
        <v/>
      </c>
      <c r="T143" s="30" t="str">
        <f t="shared" si="37"/>
        <v/>
      </c>
      <c r="U143" s="30" t="str">
        <f t="shared" si="38"/>
        <v/>
      </c>
      <c r="V143" s="30" t="str">
        <f t="shared" si="39"/>
        <v/>
      </c>
      <c r="W143" s="30" t="str">
        <f t="shared" si="40"/>
        <v/>
      </c>
    </row>
    <row r="144" spans="1:23" x14ac:dyDescent="0.2">
      <c r="A144" s="34">
        <f t="shared" si="41"/>
        <v>0</v>
      </c>
      <c r="B144" s="34">
        <v>131</v>
      </c>
      <c r="C144" s="34">
        <f t="shared" si="28"/>
        <v>0</v>
      </c>
      <c r="D144" s="30" t="str">
        <f>IF(A144=0,"",IF('Metric Data'!AG133&gt;=1, INDEX(Metric_Incremental[], MATCH('Metric Data'!AG133, Metric_Incremental[Height], 1), MATCH('Cumulative Volumes Metric'!$F$4, Metric_Incremental[#Headers], 0)), 0))</f>
        <v/>
      </c>
      <c r="E144" s="80" t="str">
        <f>IF(A144=0,"",IF('Metric Data'!AG133&gt;=1, INDEX(Metric_Incremental[], MATCH('Metric Data'!AG133, Metric_Incremental[Height], 1), MATCH('Cumulative Volumes Metric'!$F$4 &amp; "EC", Metric_Incremental[#Headers], 0)), 0))</f>
        <v/>
      </c>
      <c r="F144" s="30" t="str">
        <f t="shared" si="29"/>
        <v/>
      </c>
      <c r="G144" s="30" t="str">
        <f t="shared" si="30"/>
        <v/>
      </c>
      <c r="H144" s="30" t="str">
        <f>IF(A144=0,"",IF('Cumulative Volumes Metric'!$AR$17=FALSE,J144,I144))</f>
        <v/>
      </c>
      <c r="I144" s="30" t="str">
        <f t="shared" si="31"/>
        <v/>
      </c>
      <c r="J144" s="30" t="str">
        <f t="shared" si="32"/>
        <v/>
      </c>
      <c r="K144" s="30" t="str">
        <f>IF(A144=0,"",IF('Cumulative Volumes Metric'!$AR$17=FALSE,M144,L144))</f>
        <v/>
      </c>
      <c r="L144" s="30" t="str">
        <f t="shared" si="33"/>
        <v/>
      </c>
      <c r="M144" s="30" t="str">
        <f t="shared" si="34"/>
        <v/>
      </c>
      <c r="N144" s="30" t="str">
        <f>IF(($E$8/25.4)+45+($E$9/25.4)&gt;989,"FALSE",IF(A144="","",IF('Cumulative Volumes Metric'!$AR$17=FALSE,P144,O144)))</f>
        <v/>
      </c>
      <c r="O144" s="30" t="str">
        <f t="shared" si="35"/>
        <v/>
      </c>
      <c r="P144" s="30" t="str">
        <f>IF(A144=0,"",IF('Cumulative Volumes Metric'!$AR$17=FALSE,(U144*$E$4)+(V144*$E$5),O144))</f>
        <v/>
      </c>
      <c r="Q144" s="30" t="str">
        <f>IF(A144=0,"",(((25.4/1000)*'Metric Data'!$AC$4*'Metric Data'!$AC$5)-D144)*($E$6/100))</f>
        <v/>
      </c>
      <c r="R144" s="30" t="str">
        <f t="shared" si="36"/>
        <v/>
      </c>
      <c r="S144" s="30" t="str">
        <f>IF(A144=0,"",(((25.4/1000)*'Metric Data'!$AC$5*'Metric Data'!$AC$7)-E144)*($E$6/100))</f>
        <v/>
      </c>
      <c r="T144" s="30" t="str">
        <f t="shared" si="37"/>
        <v/>
      </c>
      <c r="U144" s="30" t="str">
        <f t="shared" si="38"/>
        <v/>
      </c>
      <c r="V144" s="30" t="str">
        <f t="shared" si="39"/>
        <v/>
      </c>
      <c r="W144" s="30" t="str">
        <f t="shared" si="40"/>
        <v/>
      </c>
    </row>
    <row r="145" spans="1:23" x14ac:dyDescent="0.2">
      <c r="A145" s="34">
        <f t="shared" si="41"/>
        <v>0</v>
      </c>
      <c r="B145" s="34">
        <v>132</v>
      </c>
      <c r="C145" s="34">
        <f t="shared" si="28"/>
        <v>0</v>
      </c>
      <c r="D145" s="30" t="str">
        <f>IF(A145=0,"",IF('Metric Data'!AG134&gt;=1, INDEX(Metric_Incremental[], MATCH('Metric Data'!AG134, Metric_Incremental[Height], 1), MATCH('Cumulative Volumes Metric'!$F$4, Metric_Incremental[#Headers], 0)), 0))</f>
        <v/>
      </c>
      <c r="E145" s="80" t="str">
        <f>IF(A145=0,"",IF('Metric Data'!AG134&gt;=1, INDEX(Metric_Incremental[], MATCH('Metric Data'!AG134, Metric_Incremental[Height], 1), MATCH('Cumulative Volumes Metric'!$F$4 &amp; "EC", Metric_Incremental[#Headers], 0)), 0))</f>
        <v/>
      </c>
      <c r="F145" s="30" t="str">
        <f t="shared" si="29"/>
        <v/>
      </c>
      <c r="G145" s="30" t="str">
        <f t="shared" si="30"/>
        <v/>
      </c>
      <c r="H145" s="30" t="str">
        <f>IF(A145=0,"",IF('Cumulative Volumes Metric'!$AR$17=FALSE,J145,I145))</f>
        <v/>
      </c>
      <c r="I145" s="30" t="str">
        <f t="shared" si="31"/>
        <v/>
      </c>
      <c r="J145" s="30" t="str">
        <f t="shared" si="32"/>
        <v/>
      </c>
      <c r="K145" s="30" t="str">
        <f>IF(A145=0,"",IF('Cumulative Volumes Metric'!$AR$17=FALSE,M145,L145))</f>
        <v/>
      </c>
      <c r="L145" s="30" t="str">
        <f t="shared" si="33"/>
        <v/>
      </c>
      <c r="M145" s="30" t="str">
        <f t="shared" si="34"/>
        <v/>
      </c>
      <c r="N145" s="30" t="str">
        <f>IF(($E$8/25.4)+45+($E$9/25.4)&gt;989,"FALSE",IF(A145="","",IF('Cumulative Volumes Metric'!$AR$17=FALSE,P145,O145)))</f>
        <v/>
      </c>
      <c r="O145" s="30" t="str">
        <f t="shared" si="35"/>
        <v/>
      </c>
      <c r="P145" s="30" t="str">
        <f>IF(A145=0,"",IF('Cumulative Volumes Metric'!$AR$17=FALSE,(U145*$E$4)+(V145*$E$5),O145))</f>
        <v/>
      </c>
      <c r="Q145" s="30" t="str">
        <f>IF(A145=0,"",(((25.4/1000)*'Metric Data'!$AC$4*'Metric Data'!$AC$5)-D145)*($E$6/100))</f>
        <v/>
      </c>
      <c r="R145" s="30" t="str">
        <f t="shared" si="36"/>
        <v/>
      </c>
      <c r="S145" s="30" t="str">
        <f>IF(A145=0,"",(((25.4/1000)*'Metric Data'!$AC$5*'Metric Data'!$AC$7)-E145)*($E$6/100))</f>
        <v/>
      </c>
      <c r="T145" s="30" t="str">
        <f t="shared" si="37"/>
        <v/>
      </c>
      <c r="U145" s="30" t="str">
        <f t="shared" si="38"/>
        <v/>
      </c>
      <c r="V145" s="30" t="str">
        <f t="shared" si="39"/>
        <v/>
      </c>
      <c r="W145" s="30" t="str">
        <f t="shared" si="40"/>
        <v/>
      </c>
    </row>
    <row r="146" spans="1:23" x14ac:dyDescent="0.2">
      <c r="A146" s="34">
        <f t="shared" si="41"/>
        <v>0</v>
      </c>
      <c r="B146" s="34">
        <v>133</v>
      </c>
      <c r="C146" s="34">
        <f t="shared" si="28"/>
        <v>0</v>
      </c>
      <c r="D146" s="30" t="str">
        <f>IF(A146=0,"",IF('Metric Data'!AG135&gt;=1, INDEX(Metric_Incremental[], MATCH('Metric Data'!AG135, Metric_Incremental[Height], 1), MATCH('Cumulative Volumes Metric'!$F$4, Metric_Incremental[#Headers], 0)), 0))</f>
        <v/>
      </c>
      <c r="E146" s="80" t="str">
        <f>IF(A146=0,"",IF('Metric Data'!AG135&gt;=1, INDEX(Metric_Incremental[], MATCH('Metric Data'!AG135, Metric_Incremental[Height], 1), MATCH('Cumulative Volumes Metric'!$F$4 &amp; "EC", Metric_Incremental[#Headers], 0)), 0))</f>
        <v/>
      </c>
      <c r="F146" s="30" t="str">
        <f t="shared" si="29"/>
        <v/>
      </c>
      <c r="G146" s="30" t="str">
        <f t="shared" si="30"/>
        <v/>
      </c>
      <c r="H146" s="30" t="str">
        <f>IF(A146=0,"",IF('Cumulative Volumes Metric'!$AR$17=FALSE,J146,I146))</f>
        <v/>
      </c>
      <c r="I146" s="30" t="str">
        <f t="shared" si="31"/>
        <v/>
      </c>
      <c r="J146" s="30" t="str">
        <f t="shared" si="32"/>
        <v/>
      </c>
      <c r="K146" s="30" t="str">
        <f>IF(A146=0,"",IF('Cumulative Volumes Metric'!$AR$17=FALSE,M146,L146))</f>
        <v/>
      </c>
      <c r="L146" s="30" t="str">
        <f t="shared" si="33"/>
        <v/>
      </c>
      <c r="M146" s="30" t="str">
        <f t="shared" si="34"/>
        <v/>
      </c>
      <c r="N146" s="30" t="str">
        <f>IF(($E$8/25.4)+45+($E$9/25.4)&gt;989,"FALSE",IF(A146="","",IF('Cumulative Volumes Metric'!$AR$17=FALSE,P146,O146)))</f>
        <v/>
      </c>
      <c r="O146" s="30" t="str">
        <f t="shared" si="35"/>
        <v/>
      </c>
      <c r="P146" s="30" t="str">
        <f>IF(A146=0,"",IF('Cumulative Volumes Metric'!$AR$17=FALSE,(U146*$E$4)+(V146*$E$5),O146))</f>
        <v/>
      </c>
      <c r="Q146" s="30" t="str">
        <f>IF(A146=0,"",(((25.4/1000)*'Metric Data'!$AC$4*'Metric Data'!$AC$5)-D146)*($E$6/100))</f>
        <v/>
      </c>
      <c r="R146" s="30" t="str">
        <f t="shared" si="36"/>
        <v/>
      </c>
      <c r="S146" s="30" t="str">
        <f>IF(A146=0,"",(((25.4/1000)*'Metric Data'!$AC$5*'Metric Data'!$AC$7)-E146)*($E$6/100))</f>
        <v/>
      </c>
      <c r="T146" s="30" t="str">
        <f t="shared" si="37"/>
        <v/>
      </c>
      <c r="U146" s="30" t="str">
        <f t="shared" si="38"/>
        <v/>
      </c>
      <c r="V146" s="30" t="str">
        <f t="shared" si="39"/>
        <v/>
      </c>
      <c r="W146" s="30" t="str">
        <f t="shared" si="40"/>
        <v/>
      </c>
    </row>
    <row r="147" spans="1:23" x14ac:dyDescent="0.2">
      <c r="A147" s="34">
        <f t="shared" si="41"/>
        <v>0</v>
      </c>
      <c r="B147" s="34">
        <v>134</v>
      </c>
      <c r="C147" s="34">
        <f t="shared" si="28"/>
        <v>0</v>
      </c>
      <c r="D147" s="30" t="str">
        <f>IF(A147=0,"",IF('Metric Data'!AG136&gt;=1, INDEX(Metric_Incremental[], MATCH('Metric Data'!AG136, Metric_Incremental[Height], 1), MATCH('Cumulative Volumes Metric'!$F$4, Metric_Incremental[#Headers], 0)), 0))</f>
        <v/>
      </c>
      <c r="E147" s="80" t="str">
        <f>IF(A147=0,"",IF('Metric Data'!AG136&gt;=1, INDEX(Metric_Incremental[], MATCH('Metric Data'!AG136, Metric_Incremental[Height], 1), MATCH('Cumulative Volumes Metric'!$F$4 &amp; "EC", Metric_Incremental[#Headers], 0)), 0))</f>
        <v/>
      </c>
      <c r="F147" s="30" t="str">
        <f t="shared" si="29"/>
        <v/>
      </c>
      <c r="G147" s="30" t="str">
        <f t="shared" si="30"/>
        <v/>
      </c>
      <c r="H147" s="30" t="str">
        <f>IF(A147=0,"",IF('Cumulative Volumes Metric'!$AR$17=FALSE,J147,I147))</f>
        <v/>
      </c>
      <c r="I147" s="30" t="str">
        <f t="shared" si="31"/>
        <v/>
      </c>
      <c r="J147" s="30" t="str">
        <f t="shared" si="32"/>
        <v/>
      </c>
      <c r="K147" s="30" t="str">
        <f>IF(A147=0,"",IF('Cumulative Volumes Metric'!$AR$17=FALSE,M147,L147))</f>
        <v/>
      </c>
      <c r="L147" s="30" t="str">
        <f t="shared" si="33"/>
        <v/>
      </c>
      <c r="M147" s="30" t="str">
        <f t="shared" si="34"/>
        <v/>
      </c>
      <c r="N147" s="30" t="str">
        <f>IF(($E$8/25.4)+45+($E$9/25.4)&gt;989,"FALSE",IF(A147="","",IF('Cumulative Volumes Metric'!$AR$17=FALSE,P147,O147)))</f>
        <v/>
      </c>
      <c r="O147" s="30" t="str">
        <f t="shared" si="35"/>
        <v/>
      </c>
      <c r="P147" s="30" t="str">
        <f>IF(A147=0,"",IF('Cumulative Volumes Metric'!$AR$17=FALSE,(U147*$E$4)+(V147*$E$5),O147))</f>
        <v/>
      </c>
      <c r="Q147" s="30" t="str">
        <f>IF(A147=0,"",(((25.4/1000)*'Metric Data'!$AC$4*'Metric Data'!$AC$5)-D147)*($E$6/100))</f>
        <v/>
      </c>
      <c r="R147" s="30" t="str">
        <f t="shared" si="36"/>
        <v/>
      </c>
      <c r="S147" s="30" t="str">
        <f>IF(A147=0,"",(((25.4/1000)*'Metric Data'!$AC$5*'Metric Data'!$AC$7)-E147)*($E$6/100))</f>
        <v/>
      </c>
      <c r="T147" s="30" t="str">
        <f t="shared" si="37"/>
        <v/>
      </c>
      <c r="U147" s="30" t="str">
        <f t="shared" si="38"/>
        <v/>
      </c>
      <c r="V147" s="30" t="str">
        <f t="shared" si="39"/>
        <v/>
      </c>
      <c r="W147" s="30" t="str">
        <f t="shared" si="40"/>
        <v/>
      </c>
    </row>
    <row r="148" spans="1:23" x14ac:dyDescent="0.2">
      <c r="A148" s="34">
        <f t="shared" si="41"/>
        <v>0</v>
      </c>
      <c r="B148" s="34">
        <v>135</v>
      </c>
      <c r="C148" s="34">
        <f t="shared" si="28"/>
        <v>0</v>
      </c>
      <c r="D148" s="30" t="str">
        <f>IF(A148=0,"",IF('Metric Data'!AG137&gt;=1, INDEX(Metric_Incremental[], MATCH('Metric Data'!AG137, Metric_Incremental[Height], 1), MATCH('Cumulative Volumes Metric'!$F$4, Metric_Incremental[#Headers], 0)), 0))</f>
        <v/>
      </c>
      <c r="E148" s="80" t="str">
        <f>IF(A148=0,"",IF('Metric Data'!AG137&gt;=1, INDEX(Metric_Incremental[], MATCH('Metric Data'!AG137, Metric_Incremental[Height], 1), MATCH('Cumulative Volumes Metric'!$F$4 &amp; "EC", Metric_Incremental[#Headers], 0)), 0))</f>
        <v/>
      </c>
      <c r="F148" s="30" t="str">
        <f t="shared" si="29"/>
        <v/>
      </c>
      <c r="G148" s="30" t="str">
        <f t="shared" si="30"/>
        <v/>
      </c>
      <c r="H148" s="30" t="str">
        <f>IF(A148=0,"",IF('Cumulative Volumes Metric'!$AR$17=FALSE,J148,I148))</f>
        <v/>
      </c>
      <c r="I148" s="30" t="str">
        <f t="shared" si="31"/>
        <v/>
      </c>
      <c r="J148" s="30" t="str">
        <f t="shared" si="32"/>
        <v/>
      </c>
      <c r="K148" s="30" t="str">
        <f>IF(A148=0,"",IF('Cumulative Volumes Metric'!$AR$17=FALSE,M148,L148))</f>
        <v/>
      </c>
      <c r="L148" s="30" t="str">
        <f t="shared" si="33"/>
        <v/>
      </c>
      <c r="M148" s="30" t="str">
        <f t="shared" si="34"/>
        <v/>
      </c>
      <c r="N148" s="30" t="str">
        <f>IF(($E$8/25.4)+45+($E$9/25.4)&gt;989,"FALSE",IF(A148="","",IF('Cumulative Volumes Metric'!$AR$17=FALSE,P148,O148)))</f>
        <v/>
      </c>
      <c r="O148" s="30" t="str">
        <f t="shared" si="35"/>
        <v/>
      </c>
      <c r="P148" s="30" t="str">
        <f>IF(A148=0,"",IF('Cumulative Volumes Metric'!$AR$17=FALSE,(U148*$E$4)+(V148*$E$5),O148))</f>
        <v/>
      </c>
      <c r="Q148" s="30" t="str">
        <f>IF(A148=0,"",(((25.4/1000)*'Metric Data'!$AC$4*'Metric Data'!$AC$5)-D148)*($E$6/100))</f>
        <v/>
      </c>
      <c r="R148" s="30" t="str">
        <f t="shared" si="36"/>
        <v/>
      </c>
      <c r="S148" s="30" t="str">
        <f>IF(A148=0,"",(((25.4/1000)*'Metric Data'!$AC$5*'Metric Data'!$AC$7)-E148)*($E$6/100))</f>
        <v/>
      </c>
      <c r="T148" s="30" t="str">
        <f t="shared" si="37"/>
        <v/>
      </c>
      <c r="U148" s="30" t="str">
        <f t="shared" si="38"/>
        <v/>
      </c>
      <c r="V148" s="30" t="str">
        <f t="shared" si="39"/>
        <v/>
      </c>
      <c r="W148" s="30" t="str">
        <f t="shared" si="40"/>
        <v/>
      </c>
    </row>
    <row r="149" spans="1:23" x14ac:dyDescent="0.2">
      <c r="A149" s="34">
        <f t="shared" si="41"/>
        <v>0</v>
      </c>
      <c r="B149" s="34">
        <v>136</v>
      </c>
      <c r="C149" s="34">
        <f t="shared" si="28"/>
        <v>0</v>
      </c>
      <c r="D149" s="30" t="str">
        <f>IF(A149=0,"",IF('Metric Data'!AG138&gt;=1, INDEX(Metric_Incremental[], MATCH('Metric Data'!AG138, Metric_Incremental[Height], 1), MATCH('Cumulative Volumes Metric'!$F$4, Metric_Incremental[#Headers], 0)), 0))</f>
        <v/>
      </c>
      <c r="E149" s="80" t="str">
        <f>IF(A149=0,"",IF('Metric Data'!AG138&gt;=1, INDEX(Metric_Incremental[], MATCH('Metric Data'!AG138, Metric_Incremental[Height], 1), MATCH('Cumulative Volumes Metric'!$F$4 &amp; "EC", Metric_Incremental[#Headers], 0)), 0))</f>
        <v/>
      </c>
      <c r="F149" s="30" t="str">
        <f t="shared" si="29"/>
        <v/>
      </c>
      <c r="G149" s="30" t="str">
        <f t="shared" si="30"/>
        <v/>
      </c>
      <c r="H149" s="30" t="str">
        <f>IF(A149=0,"",IF('Cumulative Volumes Metric'!$AR$17=FALSE,J149,I149))</f>
        <v/>
      </c>
      <c r="I149" s="30" t="str">
        <f t="shared" si="31"/>
        <v/>
      </c>
      <c r="J149" s="30" t="str">
        <f t="shared" si="32"/>
        <v/>
      </c>
      <c r="K149" s="30" t="str">
        <f>IF(A149=0,"",IF('Cumulative Volumes Metric'!$AR$17=FALSE,M149,L149))</f>
        <v/>
      </c>
      <c r="L149" s="30" t="str">
        <f t="shared" si="33"/>
        <v/>
      </c>
      <c r="M149" s="30" t="str">
        <f t="shared" si="34"/>
        <v/>
      </c>
      <c r="N149" s="30" t="str">
        <f>IF(($E$8/25.4)+45+($E$9/25.4)&gt;989,"FALSE",IF(A149="","",IF('Cumulative Volumes Metric'!$AR$17=FALSE,P149,O149)))</f>
        <v/>
      </c>
      <c r="O149" s="30" t="str">
        <f t="shared" si="35"/>
        <v/>
      </c>
      <c r="P149" s="30" t="str">
        <f>IF(A149=0,"",IF('Cumulative Volumes Metric'!$AR$17=FALSE,(U149*$E$4)+(V149*$E$5),O149))</f>
        <v/>
      </c>
      <c r="Q149" s="30" t="str">
        <f>IF(A149=0,"",(((25.4/1000)*'Metric Data'!$AC$4*'Metric Data'!$AC$5)-D149)*($E$6/100))</f>
        <v/>
      </c>
      <c r="R149" s="30" t="str">
        <f t="shared" si="36"/>
        <v/>
      </c>
      <c r="S149" s="30" t="str">
        <f>IF(A149=0,"",(((25.4/1000)*'Metric Data'!$AC$5*'Metric Data'!$AC$7)-E149)*($E$6/100))</f>
        <v/>
      </c>
      <c r="T149" s="30" t="str">
        <f t="shared" si="37"/>
        <v/>
      </c>
      <c r="U149" s="30" t="str">
        <f t="shared" si="38"/>
        <v/>
      </c>
      <c r="V149" s="30" t="str">
        <f t="shared" si="39"/>
        <v/>
      </c>
      <c r="W149" s="30" t="str">
        <f t="shared" si="40"/>
        <v/>
      </c>
    </row>
    <row r="150" spans="1:23" x14ac:dyDescent="0.2">
      <c r="A150" s="34">
        <f t="shared" si="41"/>
        <v>0</v>
      </c>
      <c r="B150" s="34">
        <v>137</v>
      </c>
      <c r="C150" s="34">
        <f t="shared" si="28"/>
        <v>0</v>
      </c>
      <c r="D150" s="30" t="str">
        <f>IF(A150=0,"",IF('Metric Data'!AG139&gt;=1, INDEX(Metric_Incremental[], MATCH('Metric Data'!AG139, Metric_Incremental[Height], 1), MATCH('Cumulative Volumes Metric'!$F$4, Metric_Incremental[#Headers], 0)), 0))</f>
        <v/>
      </c>
      <c r="E150" s="80" t="str">
        <f>IF(A150=0,"",IF('Metric Data'!AG139&gt;=1, INDEX(Metric_Incremental[], MATCH('Metric Data'!AG139, Metric_Incremental[Height], 1), MATCH('Cumulative Volumes Metric'!$F$4 &amp; "EC", Metric_Incremental[#Headers], 0)), 0))</f>
        <v/>
      </c>
      <c r="F150" s="30" t="str">
        <f t="shared" si="29"/>
        <v/>
      </c>
      <c r="G150" s="30" t="str">
        <f t="shared" si="30"/>
        <v/>
      </c>
      <c r="H150" s="30" t="str">
        <f>IF(A150=0,"",IF('Cumulative Volumes Metric'!$AR$17=FALSE,J150,I150))</f>
        <v/>
      </c>
      <c r="I150" s="30" t="str">
        <f t="shared" si="31"/>
        <v/>
      </c>
      <c r="J150" s="30" t="str">
        <f t="shared" si="32"/>
        <v/>
      </c>
      <c r="K150" s="30" t="str">
        <f>IF(A150=0,"",IF('Cumulative Volumes Metric'!$AR$17=FALSE,M150,L150))</f>
        <v/>
      </c>
      <c r="L150" s="30" t="str">
        <f t="shared" si="33"/>
        <v/>
      </c>
      <c r="M150" s="30" t="str">
        <f t="shared" si="34"/>
        <v/>
      </c>
      <c r="N150" s="30" t="str">
        <f>IF(($E$8/25.4)+45+($E$9/25.4)&gt;989,"FALSE",IF(A150="","",IF('Cumulative Volumes Metric'!$AR$17=FALSE,P150,O150)))</f>
        <v/>
      </c>
      <c r="O150" s="30" t="str">
        <f t="shared" si="35"/>
        <v/>
      </c>
      <c r="P150" s="30" t="str">
        <f>IF(A150=0,"",IF('Cumulative Volumes Metric'!$AR$17=FALSE,(U150*$E$4)+(V150*$E$5),O150))</f>
        <v/>
      </c>
      <c r="Q150" s="30" t="str">
        <f>IF(A150=0,"",(((25.4/1000)*'Metric Data'!$AC$4*'Metric Data'!$AC$5)-D150)*($E$6/100))</f>
        <v/>
      </c>
      <c r="R150" s="30" t="str">
        <f t="shared" si="36"/>
        <v/>
      </c>
      <c r="S150" s="30" t="str">
        <f>IF(A150=0,"",(((25.4/1000)*'Metric Data'!$AC$5*'Metric Data'!$AC$7)-E150)*($E$6/100))</f>
        <v/>
      </c>
      <c r="T150" s="30" t="str">
        <f t="shared" si="37"/>
        <v/>
      </c>
      <c r="U150" s="30" t="str">
        <f t="shared" si="38"/>
        <v/>
      </c>
      <c r="V150" s="30" t="str">
        <f t="shared" si="39"/>
        <v/>
      </c>
      <c r="W150" s="30" t="str">
        <f t="shared" si="40"/>
        <v/>
      </c>
    </row>
    <row r="151" spans="1:23" x14ac:dyDescent="0.2">
      <c r="A151" s="34">
        <f t="shared" si="41"/>
        <v>0</v>
      </c>
      <c r="B151" s="34">
        <v>138</v>
      </c>
      <c r="C151" s="34">
        <f t="shared" si="28"/>
        <v>0</v>
      </c>
      <c r="D151" s="30" t="str">
        <f>IF(A151=0,"",IF('Metric Data'!AG140&gt;=1, INDEX(Metric_Incremental[], MATCH('Metric Data'!AG140, Metric_Incremental[Height], 1), MATCH('Cumulative Volumes Metric'!$F$4, Metric_Incremental[#Headers], 0)), 0))</f>
        <v/>
      </c>
      <c r="E151" s="80" t="str">
        <f>IF(A151=0,"",IF('Metric Data'!AG140&gt;=1, INDEX(Metric_Incremental[], MATCH('Metric Data'!AG140, Metric_Incremental[Height], 1), MATCH('Cumulative Volumes Metric'!$F$4 &amp; "EC", Metric_Incremental[#Headers], 0)), 0))</f>
        <v/>
      </c>
      <c r="F151" s="30" t="str">
        <f t="shared" si="29"/>
        <v/>
      </c>
      <c r="G151" s="30" t="str">
        <f t="shared" si="30"/>
        <v/>
      </c>
      <c r="H151" s="30" t="str">
        <f>IF(A151=0,"",IF('Cumulative Volumes Metric'!$AR$17=FALSE,J151,I151))</f>
        <v/>
      </c>
      <c r="I151" s="30" t="str">
        <f t="shared" si="31"/>
        <v/>
      </c>
      <c r="J151" s="30" t="str">
        <f t="shared" si="32"/>
        <v/>
      </c>
      <c r="K151" s="30" t="str">
        <f>IF(A151=0,"",IF('Cumulative Volumes Metric'!$AR$17=FALSE,M151,L151))</f>
        <v/>
      </c>
      <c r="L151" s="30" t="str">
        <f t="shared" si="33"/>
        <v/>
      </c>
      <c r="M151" s="30" t="str">
        <f t="shared" si="34"/>
        <v/>
      </c>
      <c r="N151" s="30" t="str">
        <f>IF(($E$8/25.4)+45+($E$9/25.4)&gt;989,"FALSE",IF(A151="","",IF('Cumulative Volumes Metric'!$AR$17=FALSE,P151,O151)))</f>
        <v/>
      </c>
      <c r="O151" s="30" t="str">
        <f t="shared" si="35"/>
        <v/>
      </c>
      <c r="P151" s="30" t="str">
        <f>IF(A151=0,"",IF('Cumulative Volumes Metric'!$AR$17=FALSE,(U151*$E$4)+(V151*$E$5),O151))</f>
        <v/>
      </c>
      <c r="Q151" s="30" t="str">
        <f>IF(A151=0,"",(((25.4/1000)*'Metric Data'!$AC$4*'Metric Data'!$AC$5)-D151)*($E$6/100))</f>
        <v/>
      </c>
      <c r="R151" s="30" t="str">
        <f t="shared" si="36"/>
        <v/>
      </c>
      <c r="S151" s="30" t="str">
        <f>IF(A151=0,"",(((25.4/1000)*'Metric Data'!$AC$5*'Metric Data'!$AC$7)-E151)*($E$6/100))</f>
        <v/>
      </c>
      <c r="T151" s="30" t="str">
        <f t="shared" si="37"/>
        <v/>
      </c>
      <c r="U151" s="30" t="str">
        <f t="shared" si="38"/>
        <v/>
      </c>
      <c r="V151" s="30" t="str">
        <f t="shared" si="39"/>
        <v/>
      </c>
      <c r="W151" s="30" t="str">
        <f t="shared" si="40"/>
        <v/>
      </c>
    </row>
    <row r="152" spans="1:23" x14ac:dyDescent="0.2">
      <c r="A152" s="34">
        <f t="shared" si="41"/>
        <v>0</v>
      </c>
      <c r="B152" s="34">
        <v>139</v>
      </c>
      <c r="C152" s="34">
        <f t="shared" si="28"/>
        <v>0</v>
      </c>
      <c r="D152" s="30" t="str">
        <f>IF(A152=0,"",IF('Metric Data'!AG141&gt;=1, INDEX(Metric_Incremental[], MATCH('Metric Data'!AG141, Metric_Incremental[Height], 1), MATCH('Cumulative Volumes Metric'!$F$4, Metric_Incremental[#Headers], 0)), 0))</f>
        <v/>
      </c>
      <c r="E152" s="80" t="str">
        <f>IF(A152=0,"",IF('Metric Data'!AG141&gt;=1, INDEX(Metric_Incremental[], MATCH('Metric Data'!AG141, Metric_Incremental[Height], 1), MATCH('Cumulative Volumes Metric'!$F$4 &amp; "EC", Metric_Incremental[#Headers], 0)), 0))</f>
        <v/>
      </c>
      <c r="F152" s="30" t="str">
        <f t="shared" si="29"/>
        <v/>
      </c>
      <c r="G152" s="30" t="str">
        <f t="shared" si="30"/>
        <v/>
      </c>
      <c r="H152" s="30" t="str">
        <f>IF(A152=0,"",IF('Cumulative Volumes Metric'!$AR$17=FALSE,J152,I152))</f>
        <v/>
      </c>
      <c r="I152" s="30" t="str">
        <f t="shared" si="31"/>
        <v/>
      </c>
      <c r="J152" s="30" t="str">
        <f t="shared" si="32"/>
        <v/>
      </c>
      <c r="K152" s="30" t="str">
        <f>IF(A152=0,"",IF('Cumulative Volumes Metric'!$AR$17=FALSE,M152,L152))</f>
        <v/>
      </c>
      <c r="L152" s="30" t="str">
        <f t="shared" si="33"/>
        <v/>
      </c>
      <c r="M152" s="30" t="str">
        <f t="shared" si="34"/>
        <v/>
      </c>
      <c r="N152" s="30" t="str">
        <f>IF(($E$8/25.4)+45+($E$9/25.4)&gt;989,"FALSE",IF(A152="","",IF('Cumulative Volumes Metric'!$AR$17=FALSE,P152,O152)))</f>
        <v/>
      </c>
      <c r="O152" s="30" t="str">
        <f t="shared" si="35"/>
        <v/>
      </c>
      <c r="P152" s="30" t="str">
        <f>IF(A152=0,"",IF('Cumulative Volumes Metric'!$AR$17=FALSE,(U152*$E$4)+(V152*$E$5),O152))</f>
        <v/>
      </c>
      <c r="Q152" s="30" t="str">
        <f>IF(A152=0,"",(((25.4/1000)*'Metric Data'!$AC$4*'Metric Data'!$AC$5)-D152)*($E$6/100))</f>
        <v/>
      </c>
      <c r="R152" s="30" t="str">
        <f t="shared" si="36"/>
        <v/>
      </c>
      <c r="S152" s="30" t="str">
        <f>IF(A152=0,"",(((25.4/1000)*'Metric Data'!$AC$5*'Metric Data'!$AC$7)-E152)*($E$6/100))</f>
        <v/>
      </c>
      <c r="T152" s="30" t="str">
        <f t="shared" si="37"/>
        <v/>
      </c>
      <c r="U152" s="30" t="str">
        <f t="shared" si="38"/>
        <v/>
      </c>
      <c r="V152" s="30" t="str">
        <f t="shared" si="39"/>
        <v/>
      </c>
      <c r="W152" s="30" t="str">
        <f t="shared" si="40"/>
        <v/>
      </c>
    </row>
    <row r="153" spans="1:23" x14ac:dyDescent="0.2">
      <c r="A153" s="34">
        <f t="shared" si="41"/>
        <v>0</v>
      </c>
      <c r="B153" s="34">
        <v>140</v>
      </c>
      <c r="C153" s="34">
        <f t="shared" si="28"/>
        <v>0</v>
      </c>
      <c r="D153" s="30" t="str">
        <f>IF(A153=0,"",IF('Metric Data'!AG142&gt;=1, INDEX(Metric_Incremental[], MATCH('Metric Data'!AG142, Metric_Incremental[Height], 1), MATCH('Cumulative Volumes Metric'!$F$4, Metric_Incremental[#Headers], 0)), 0))</f>
        <v/>
      </c>
      <c r="E153" s="80" t="str">
        <f>IF(A153=0,"",IF('Metric Data'!AG142&gt;=1, INDEX(Metric_Incremental[], MATCH('Metric Data'!AG142, Metric_Incremental[Height], 1), MATCH('Cumulative Volumes Metric'!$F$4 &amp; "EC", Metric_Incremental[#Headers], 0)), 0))</f>
        <v/>
      </c>
      <c r="F153" s="30" t="str">
        <f t="shared" si="29"/>
        <v/>
      </c>
      <c r="G153" s="30" t="str">
        <f t="shared" si="30"/>
        <v/>
      </c>
      <c r="H153" s="30" t="str">
        <f>IF(A153=0,"",IF('Cumulative Volumes Metric'!$AR$17=FALSE,J153,I153))</f>
        <v/>
      </c>
      <c r="I153" s="30" t="str">
        <f t="shared" si="31"/>
        <v/>
      </c>
      <c r="J153" s="30" t="str">
        <f t="shared" si="32"/>
        <v/>
      </c>
      <c r="K153" s="30" t="str">
        <f>IF(A153=0,"",IF('Cumulative Volumes Metric'!$AR$17=FALSE,M153,L153))</f>
        <v/>
      </c>
      <c r="L153" s="30" t="str">
        <f t="shared" si="33"/>
        <v/>
      </c>
      <c r="M153" s="30" t="str">
        <f t="shared" si="34"/>
        <v/>
      </c>
      <c r="N153" s="30" t="str">
        <f>IF(($E$8/25.4)+45+($E$9/25.4)&gt;989,"FALSE",IF(A153="","",IF('Cumulative Volumes Metric'!$AR$17=FALSE,P153,O153)))</f>
        <v/>
      </c>
      <c r="O153" s="30" t="str">
        <f t="shared" si="35"/>
        <v/>
      </c>
      <c r="P153" s="30" t="str">
        <f>IF(A153=0,"",IF('Cumulative Volumes Metric'!$AR$17=FALSE,(U153*$E$4)+(V153*$E$5),O153))</f>
        <v/>
      </c>
      <c r="Q153" s="30" t="str">
        <f>IF(A153=0,"",(((25.4/1000)*'Metric Data'!$AC$4*'Metric Data'!$AC$5)-D153)*($E$6/100))</f>
        <v/>
      </c>
      <c r="R153" s="30" t="str">
        <f t="shared" si="36"/>
        <v/>
      </c>
      <c r="S153" s="30" t="str">
        <f>IF(A153=0,"",(((25.4/1000)*'Metric Data'!$AC$5*'Metric Data'!$AC$7)-E153)*($E$6/100))</f>
        <v/>
      </c>
      <c r="T153" s="30" t="str">
        <f t="shared" si="37"/>
        <v/>
      </c>
      <c r="U153" s="30" t="str">
        <f t="shared" si="38"/>
        <v/>
      </c>
      <c r="V153" s="30" t="str">
        <f t="shared" si="39"/>
        <v/>
      </c>
      <c r="W153" s="30" t="str">
        <f t="shared" si="40"/>
        <v/>
      </c>
    </row>
    <row r="154" spans="1:23" x14ac:dyDescent="0.2">
      <c r="A154" s="34">
        <f t="shared" si="41"/>
        <v>0</v>
      </c>
      <c r="B154" s="34">
        <v>141</v>
      </c>
      <c r="C154" s="34">
        <f t="shared" si="28"/>
        <v>0</v>
      </c>
      <c r="D154" s="30" t="str">
        <f>IF(A154=0,"",IF('Metric Data'!AG143&gt;=1, INDEX(Metric_Incremental[], MATCH('Metric Data'!AG143, Metric_Incremental[Height], 1), MATCH('Cumulative Volumes Metric'!$F$4, Metric_Incremental[#Headers], 0)), 0))</f>
        <v/>
      </c>
      <c r="E154" s="80" t="str">
        <f>IF(A154=0,"",IF('Metric Data'!AG143&gt;=1, INDEX(Metric_Incremental[], MATCH('Metric Data'!AG143, Metric_Incremental[Height], 1), MATCH('Cumulative Volumes Metric'!$F$4 &amp; "EC", Metric_Incremental[#Headers], 0)), 0))</f>
        <v/>
      </c>
      <c r="F154" s="30" t="str">
        <f t="shared" si="29"/>
        <v/>
      </c>
      <c r="G154" s="30" t="str">
        <f t="shared" si="30"/>
        <v/>
      </c>
      <c r="H154" s="30" t="str">
        <f>IF(A154=0,"",IF('Cumulative Volumes Metric'!$AR$17=FALSE,J154,I154))</f>
        <v/>
      </c>
      <c r="I154" s="30" t="str">
        <f t="shared" si="31"/>
        <v/>
      </c>
      <c r="J154" s="30" t="str">
        <f t="shared" si="32"/>
        <v/>
      </c>
      <c r="K154" s="30" t="str">
        <f>IF(A154=0,"",IF('Cumulative Volumes Metric'!$AR$17=FALSE,M154,L154))</f>
        <v/>
      </c>
      <c r="L154" s="30" t="str">
        <f t="shared" si="33"/>
        <v/>
      </c>
      <c r="M154" s="30" t="str">
        <f t="shared" si="34"/>
        <v/>
      </c>
      <c r="N154" s="30" t="str">
        <f>IF(($E$8/25.4)+45+($E$9/25.4)&gt;989,"FALSE",IF(A154="","",IF('Cumulative Volumes Metric'!$AR$17=FALSE,P154,O154)))</f>
        <v/>
      </c>
      <c r="O154" s="30" t="str">
        <f t="shared" si="35"/>
        <v/>
      </c>
      <c r="P154" s="30" t="str">
        <f>IF(A154=0,"",IF('Cumulative Volumes Metric'!$AR$17=FALSE,(U154*$E$4)+(V154*$E$5),O154))</f>
        <v/>
      </c>
      <c r="Q154" s="30" t="str">
        <f>IF(A154=0,"",(((25.4/1000)*'Metric Data'!$AC$4*'Metric Data'!$AC$5)-D154)*($E$6/100))</f>
        <v/>
      </c>
      <c r="R154" s="30" t="str">
        <f t="shared" si="36"/>
        <v/>
      </c>
      <c r="S154" s="30" t="str">
        <f>IF(A154=0,"",(((25.4/1000)*'Metric Data'!$AC$5*'Metric Data'!$AC$7)-E154)*($E$6/100))</f>
        <v/>
      </c>
      <c r="T154" s="30" t="str">
        <f t="shared" si="37"/>
        <v/>
      </c>
      <c r="U154" s="30" t="str">
        <f t="shared" si="38"/>
        <v/>
      </c>
      <c r="V154" s="30" t="str">
        <f t="shared" si="39"/>
        <v/>
      </c>
      <c r="W154" s="30" t="str">
        <f t="shared" si="40"/>
        <v/>
      </c>
    </row>
    <row r="155" spans="1:23" x14ac:dyDescent="0.2">
      <c r="A155" s="34">
        <f t="shared" si="41"/>
        <v>0</v>
      </c>
      <c r="B155" s="34">
        <v>142</v>
      </c>
      <c r="C155" s="34">
        <f t="shared" si="28"/>
        <v>0</v>
      </c>
      <c r="D155" s="30" t="str">
        <f>IF(A155=0,"",IF('Metric Data'!AG144&gt;=1, INDEX(Metric_Incremental[], MATCH('Metric Data'!AG144, Metric_Incremental[Height], 1), MATCH('Cumulative Volumes Metric'!$F$4, Metric_Incremental[#Headers], 0)), 0))</f>
        <v/>
      </c>
      <c r="E155" s="80" t="str">
        <f>IF(A155=0,"",IF('Metric Data'!AG144&gt;=1, INDEX(Metric_Incremental[], MATCH('Metric Data'!AG144, Metric_Incremental[Height], 1), MATCH('Cumulative Volumes Metric'!$F$4 &amp; "EC", Metric_Incremental[#Headers], 0)), 0))</f>
        <v/>
      </c>
      <c r="F155" s="30" t="str">
        <f t="shared" si="29"/>
        <v/>
      </c>
      <c r="G155" s="30" t="str">
        <f t="shared" si="30"/>
        <v/>
      </c>
      <c r="H155" s="30" t="str">
        <f>IF(A155=0,"",IF('Cumulative Volumes Metric'!$AR$17=FALSE,J155,I155))</f>
        <v/>
      </c>
      <c r="I155" s="30" t="str">
        <f t="shared" si="31"/>
        <v/>
      </c>
      <c r="J155" s="30" t="str">
        <f t="shared" si="32"/>
        <v/>
      </c>
      <c r="K155" s="30" t="str">
        <f>IF(A155=0,"",IF('Cumulative Volumes Metric'!$AR$17=FALSE,M155,L155))</f>
        <v/>
      </c>
      <c r="L155" s="30" t="str">
        <f t="shared" si="33"/>
        <v/>
      </c>
      <c r="M155" s="30" t="str">
        <f t="shared" si="34"/>
        <v/>
      </c>
      <c r="N155" s="30" t="str">
        <f>IF(($E$8/25.4)+45+($E$9/25.4)&gt;989,"FALSE",IF(A155="","",IF('Cumulative Volumes Metric'!$AR$17=FALSE,P155,O155)))</f>
        <v/>
      </c>
      <c r="O155" s="30" t="str">
        <f t="shared" si="35"/>
        <v/>
      </c>
      <c r="P155" s="30" t="str">
        <f>IF(A155=0,"",IF('Cumulative Volumes Metric'!$AR$17=FALSE,(U155*$E$4)+(V155*$E$5),O155))</f>
        <v/>
      </c>
      <c r="Q155" s="30" t="str">
        <f>IF(A155=0,"",(((25.4/1000)*'Metric Data'!$AC$4*'Metric Data'!$AC$5)-D155)*($E$6/100))</f>
        <v/>
      </c>
      <c r="R155" s="30" t="str">
        <f t="shared" si="36"/>
        <v/>
      </c>
      <c r="S155" s="30" t="str">
        <f>IF(A155=0,"",(((25.4/1000)*'Metric Data'!$AC$5*'Metric Data'!$AC$7)-E155)*($E$6/100))</f>
        <v/>
      </c>
      <c r="T155" s="30" t="str">
        <f t="shared" si="37"/>
        <v/>
      </c>
      <c r="U155" s="30" t="str">
        <f t="shared" si="38"/>
        <v/>
      </c>
      <c r="V155" s="30" t="str">
        <f t="shared" si="39"/>
        <v/>
      </c>
      <c r="W155" s="30" t="str">
        <f t="shared" si="40"/>
        <v/>
      </c>
    </row>
    <row r="156" spans="1:23" x14ac:dyDescent="0.2">
      <c r="A156" s="34">
        <f t="shared" si="41"/>
        <v>0</v>
      </c>
      <c r="B156" s="34">
        <v>143</v>
      </c>
      <c r="C156" s="34">
        <f t="shared" si="28"/>
        <v>0</v>
      </c>
      <c r="D156" s="30" t="str">
        <f>IF(A156=0,"",IF('Metric Data'!AG145&gt;=1, INDEX(Metric_Incremental[], MATCH('Metric Data'!AG145, Metric_Incremental[Height], 1), MATCH('Cumulative Volumes Metric'!$F$4, Metric_Incremental[#Headers], 0)), 0))</f>
        <v/>
      </c>
      <c r="E156" s="80" t="str">
        <f>IF(A156=0,"",IF('Metric Data'!AG145&gt;=1, INDEX(Metric_Incremental[], MATCH('Metric Data'!AG145, Metric_Incremental[Height], 1), MATCH('Cumulative Volumes Metric'!$F$4 &amp; "EC", Metric_Incremental[#Headers], 0)), 0))</f>
        <v/>
      </c>
      <c r="F156" s="30" t="str">
        <f t="shared" si="29"/>
        <v/>
      </c>
      <c r="G156" s="30" t="str">
        <f t="shared" si="30"/>
        <v/>
      </c>
      <c r="H156" s="30" t="str">
        <f>IF(A156=0,"",IF('Cumulative Volumes Metric'!$AR$17=FALSE,J156,I156))</f>
        <v/>
      </c>
      <c r="I156" s="30" t="str">
        <f t="shared" si="31"/>
        <v/>
      </c>
      <c r="J156" s="30" t="str">
        <f t="shared" si="32"/>
        <v/>
      </c>
      <c r="K156" s="30" t="str">
        <f>IF(A156=0,"",IF('Cumulative Volumes Metric'!$AR$17=FALSE,M156,L156))</f>
        <v/>
      </c>
      <c r="L156" s="30" t="str">
        <f t="shared" si="33"/>
        <v/>
      </c>
      <c r="M156" s="30" t="str">
        <f t="shared" si="34"/>
        <v/>
      </c>
      <c r="N156" s="30" t="str">
        <f>IF(($E$8/25.4)+45+($E$9/25.4)&gt;989,"FALSE",IF(A156="","",IF('Cumulative Volumes Metric'!$AR$17=FALSE,P156,O156)))</f>
        <v/>
      </c>
      <c r="O156" s="30" t="str">
        <f t="shared" si="35"/>
        <v/>
      </c>
      <c r="P156" s="30" t="str">
        <f>IF(A156=0,"",IF('Cumulative Volumes Metric'!$AR$17=FALSE,(U156*$E$4)+(V156*$E$5),O156))</f>
        <v/>
      </c>
      <c r="Q156" s="30" t="str">
        <f>IF(A156=0,"",(((25.4/1000)*'Metric Data'!$AC$4*'Metric Data'!$AC$5)-D156)*($E$6/100))</f>
        <v/>
      </c>
      <c r="R156" s="30" t="str">
        <f t="shared" si="36"/>
        <v/>
      </c>
      <c r="S156" s="30" t="str">
        <f>IF(A156=0,"",(((25.4/1000)*'Metric Data'!$AC$5*'Metric Data'!$AC$7)-E156)*($E$6/100))</f>
        <v/>
      </c>
      <c r="T156" s="30" t="str">
        <f t="shared" si="37"/>
        <v/>
      </c>
      <c r="U156" s="30" t="str">
        <f t="shared" si="38"/>
        <v/>
      </c>
      <c r="V156" s="30" t="str">
        <f t="shared" si="39"/>
        <v/>
      </c>
      <c r="W156" s="30" t="str">
        <f t="shared" si="40"/>
        <v/>
      </c>
    </row>
    <row r="157" spans="1:23" x14ac:dyDescent="0.2">
      <c r="A157" s="34">
        <f t="shared" si="41"/>
        <v>0</v>
      </c>
      <c r="B157" s="34">
        <v>144</v>
      </c>
      <c r="C157" s="34">
        <f t="shared" si="28"/>
        <v>0</v>
      </c>
      <c r="D157" s="30" t="str">
        <f>IF(A157=0,"",IF('Metric Data'!AG146&gt;=1, INDEX(Metric_Incremental[], MATCH('Metric Data'!AG146, Metric_Incremental[Height], 1), MATCH('Cumulative Volumes Metric'!$F$4, Metric_Incremental[#Headers], 0)), 0))</f>
        <v/>
      </c>
      <c r="E157" s="80" t="str">
        <f>IF(A157=0,"",IF('Metric Data'!AG146&gt;=1, INDEX(Metric_Incremental[], MATCH('Metric Data'!AG146, Metric_Incremental[Height], 1), MATCH('Cumulative Volumes Metric'!$F$4 &amp; "EC", Metric_Incremental[#Headers], 0)), 0))</f>
        <v/>
      </c>
      <c r="F157" s="30" t="str">
        <f t="shared" si="29"/>
        <v/>
      </c>
      <c r="G157" s="30" t="str">
        <f t="shared" si="30"/>
        <v/>
      </c>
      <c r="H157" s="30" t="str">
        <f>IF(A157=0,"",IF('Cumulative Volumes Metric'!$AR$17=FALSE,J157,I157))</f>
        <v/>
      </c>
      <c r="I157" s="30" t="str">
        <f t="shared" si="31"/>
        <v/>
      </c>
      <c r="J157" s="30" t="str">
        <f t="shared" si="32"/>
        <v/>
      </c>
      <c r="K157" s="30" t="str">
        <f>IF(A157=0,"",IF('Cumulative Volumes Metric'!$AR$17=FALSE,M157,L157))</f>
        <v/>
      </c>
      <c r="L157" s="30" t="str">
        <f t="shared" si="33"/>
        <v/>
      </c>
      <c r="M157" s="30" t="str">
        <f t="shared" si="34"/>
        <v/>
      </c>
      <c r="N157" s="30" t="str">
        <f>IF(($E$8/25.4)+45+($E$9/25.4)&gt;989,"FALSE",IF(A157="","",IF('Cumulative Volumes Metric'!$AR$17=FALSE,P157,O157)))</f>
        <v/>
      </c>
      <c r="O157" s="30" t="str">
        <f t="shared" si="35"/>
        <v/>
      </c>
      <c r="P157" s="30" t="str">
        <f>IF(A157=0,"",IF('Cumulative Volumes Metric'!$AR$17=FALSE,(U157*$E$4)+(V157*$E$5),O157))</f>
        <v/>
      </c>
      <c r="Q157" s="30" t="str">
        <f>IF(A157=0,"",(((25.4/1000)*'Metric Data'!$AC$4*'Metric Data'!$AC$5)-D157)*($E$6/100))</f>
        <v/>
      </c>
      <c r="R157" s="30" t="str">
        <f t="shared" si="36"/>
        <v/>
      </c>
      <c r="S157" s="30" t="str">
        <f>IF(A157=0,"",(((25.4/1000)*'Metric Data'!$AC$5*'Metric Data'!$AC$7)-E157)*($E$6/100))</f>
        <v/>
      </c>
      <c r="T157" s="30" t="str">
        <f t="shared" si="37"/>
        <v/>
      </c>
      <c r="U157" s="30" t="str">
        <f t="shared" si="38"/>
        <v/>
      </c>
      <c r="V157" s="30" t="str">
        <f t="shared" si="39"/>
        <v/>
      </c>
      <c r="W157" s="30" t="str">
        <f t="shared" si="40"/>
        <v/>
      </c>
    </row>
    <row r="158" spans="1:23" x14ac:dyDescent="0.2">
      <c r="A158" s="34">
        <f t="shared" si="41"/>
        <v>0</v>
      </c>
      <c r="B158" s="34">
        <v>145</v>
      </c>
      <c r="C158" s="34">
        <f t="shared" si="28"/>
        <v>0</v>
      </c>
      <c r="D158" s="30" t="str">
        <f>IF(A158=0,"",IF('Metric Data'!AG147&gt;=1, INDEX(Metric_Incremental[], MATCH('Metric Data'!AG147, Metric_Incremental[Height], 1), MATCH('Cumulative Volumes Metric'!$F$4, Metric_Incremental[#Headers], 0)), 0))</f>
        <v/>
      </c>
      <c r="E158" s="80" t="str">
        <f>IF(A158=0,"",IF('Metric Data'!AG147&gt;=1, INDEX(Metric_Incremental[], MATCH('Metric Data'!AG147, Metric_Incremental[Height], 1), MATCH('Cumulative Volumes Metric'!$F$4 &amp; "EC", Metric_Incremental[#Headers], 0)), 0))</f>
        <v/>
      </c>
      <c r="F158" s="30" t="str">
        <f t="shared" si="29"/>
        <v/>
      </c>
      <c r="G158" s="30" t="str">
        <f t="shared" si="30"/>
        <v/>
      </c>
      <c r="H158" s="30" t="str">
        <f>IF(A158=0,"",IF('Cumulative Volumes Metric'!$AR$17=FALSE,J158,I158))</f>
        <v/>
      </c>
      <c r="I158" s="30" t="str">
        <f t="shared" si="31"/>
        <v/>
      </c>
      <c r="J158" s="30" t="str">
        <f t="shared" si="32"/>
        <v/>
      </c>
      <c r="K158" s="30" t="str">
        <f>IF(A158=0,"",IF('Cumulative Volumes Metric'!$AR$17=FALSE,M158,L158))</f>
        <v/>
      </c>
      <c r="L158" s="30" t="str">
        <f t="shared" si="33"/>
        <v/>
      </c>
      <c r="M158" s="30" t="str">
        <f t="shared" si="34"/>
        <v/>
      </c>
      <c r="N158" s="30" t="str">
        <f>IF(($E$8/25.4)+45+($E$9/25.4)&gt;989,"FALSE",IF(A158="","",IF('Cumulative Volumes Metric'!$AR$17=FALSE,P158,O158)))</f>
        <v/>
      </c>
      <c r="O158" s="30" t="str">
        <f t="shared" si="35"/>
        <v/>
      </c>
      <c r="P158" s="30" t="str">
        <f>IF(A158=0,"",IF('Cumulative Volumes Metric'!$AR$17=FALSE,(U158*$E$4)+(V158*$E$5),O158))</f>
        <v/>
      </c>
      <c r="Q158" s="30" t="str">
        <f>IF(A158=0,"",(((25.4/1000)*'Metric Data'!$AC$4*'Metric Data'!$AC$5)-D158)*($E$6/100))</f>
        <v/>
      </c>
      <c r="R158" s="30" t="str">
        <f t="shared" si="36"/>
        <v/>
      </c>
      <c r="S158" s="30" t="str">
        <f>IF(A158=0,"",(((25.4/1000)*'Metric Data'!$AC$5*'Metric Data'!$AC$7)-E158)*($E$6/100))</f>
        <v/>
      </c>
      <c r="T158" s="30" t="str">
        <f t="shared" si="37"/>
        <v/>
      </c>
      <c r="U158" s="30" t="str">
        <f t="shared" si="38"/>
        <v/>
      </c>
      <c r="V158" s="30" t="str">
        <f t="shared" si="39"/>
        <v/>
      </c>
      <c r="W158" s="30" t="str">
        <f t="shared" si="40"/>
        <v/>
      </c>
    </row>
    <row r="159" spans="1:23" x14ac:dyDescent="0.2">
      <c r="A159" s="34">
        <f t="shared" si="41"/>
        <v>0</v>
      </c>
      <c r="B159" s="34">
        <v>146</v>
      </c>
      <c r="C159" s="34">
        <f t="shared" ref="C159:C222" si="42">A159*25.4</f>
        <v>0</v>
      </c>
      <c r="D159" s="30" t="str">
        <f>IF(A159=0,"",IF('Metric Data'!AG148&gt;=1, INDEX(Metric_Incremental[], MATCH('Metric Data'!AG148, Metric_Incremental[Height], 1), MATCH('Cumulative Volumes Metric'!$F$4, Metric_Incremental[#Headers], 0)), 0))</f>
        <v/>
      </c>
      <c r="E159" s="80" t="str">
        <f>IF(A159=0,"",IF('Metric Data'!AG148&gt;=1, INDEX(Metric_Incremental[], MATCH('Metric Data'!AG148, Metric_Incremental[Height], 1), MATCH('Cumulative Volumes Metric'!$F$4 &amp; "EC", Metric_Incremental[#Headers], 0)), 0))</f>
        <v/>
      </c>
      <c r="F159" s="30" t="str">
        <f t="shared" ref="F159:F222" si="43">IF(A159=0,"",$E$4*D159)</f>
        <v/>
      </c>
      <c r="G159" s="30" t="str">
        <f t="shared" ref="G159:G222" si="44">IF(A159=0,"",$E$5*E159)</f>
        <v/>
      </c>
      <c r="H159" s="30" t="str">
        <f>IF(A159=0,"",IF('Cumulative Volumes Metric'!$AR$17=FALSE,J159,I159))</f>
        <v/>
      </c>
      <c r="I159" s="30" t="str">
        <f t="shared" ref="I159:I222" si="45">IF(A159=0,"",($E$6/100)*($E$10*(25.4/1000)-(F159+G159)))</f>
        <v/>
      </c>
      <c r="J159" s="30" t="str">
        <f t="shared" ref="J159:J222" si="46">IF(A159=0,"",R159+T159)</f>
        <v/>
      </c>
      <c r="K159" s="30" t="str">
        <f>IF(A159=0,"",IF('Cumulative Volumes Metric'!$AR$17=FALSE,M159,L159))</f>
        <v/>
      </c>
      <c r="L159" s="30" t="str">
        <f t="shared" ref="L159:L222" si="47">IF(A159=0,"",I159+F159+G159)</f>
        <v/>
      </c>
      <c r="M159" s="30" t="str">
        <f t="shared" ref="M159:M222" si="48">IF(A159=0,"",F159+G159+J159)</f>
        <v/>
      </c>
      <c r="N159" s="30" t="str">
        <f>IF(($E$8/25.4)+45+($E$9/25.4)&gt;989,"FALSE",IF(A159="","",IF('Cumulative Volumes Metric'!$AR$17=FALSE,P159,O159)))</f>
        <v/>
      </c>
      <c r="O159" s="30" t="str">
        <f t="shared" ref="O159:O222" si="49">IF(A159=0,"",IF(A159=1,L159,O160+L159))</f>
        <v/>
      </c>
      <c r="P159" s="30" t="str">
        <f>IF(A159=0,"",IF('Cumulative Volumes Metric'!$AR$17=FALSE,(U159*$E$4)+(V159*$E$5),O159))</f>
        <v/>
      </c>
      <c r="Q159" s="30" t="str">
        <f>IF(A159=0,"",(((25.4/1000)*'Metric Data'!$AC$4*'Metric Data'!$AC$5)-D159)*($E$6/100))</f>
        <v/>
      </c>
      <c r="R159" s="30" t="str">
        <f t="shared" ref="R159:R222" si="50">IF(A159=0,"",Q159*$E$4)</f>
        <v/>
      </c>
      <c r="S159" s="30" t="str">
        <f>IF(A159=0,"",(((25.4/1000)*'Metric Data'!$AC$5*'Metric Data'!$AC$7)-E159)*($E$6/100))</f>
        <v/>
      </c>
      <c r="T159" s="30" t="str">
        <f t="shared" ref="T159:T222" si="51">IF(A159=0,"",S159*$E$5)</f>
        <v/>
      </c>
      <c r="U159" s="30" t="str">
        <f t="shared" ref="U159:U222" si="52">IF(A159=0,"",IF(A159=1,D159+Q159,U160+D159+Q159))</f>
        <v/>
      </c>
      <c r="V159" s="30" t="str">
        <f t="shared" ref="V159:V222" si="53">IF(A159=0,"",IF(A159=1,E159+S159,V160+E159+S159))</f>
        <v/>
      </c>
      <c r="W159" s="30" t="str">
        <f t="shared" ref="W159:W222" si="54">IF(A159=0,"",$E$7+C159/1000)</f>
        <v/>
      </c>
    </row>
    <row r="160" spans="1:23" x14ac:dyDescent="0.2">
      <c r="A160" s="34">
        <f t="shared" si="41"/>
        <v>0</v>
      </c>
      <c r="B160" s="34">
        <v>147</v>
      </c>
      <c r="C160" s="34">
        <f t="shared" si="42"/>
        <v>0</v>
      </c>
      <c r="D160" s="30" t="str">
        <f>IF(A160=0,"",IF('Metric Data'!AG149&gt;=1, INDEX(Metric_Incremental[], MATCH('Metric Data'!AG149, Metric_Incremental[Height], 1), MATCH('Cumulative Volumes Metric'!$F$4, Metric_Incremental[#Headers], 0)), 0))</f>
        <v/>
      </c>
      <c r="E160" s="80" t="str">
        <f>IF(A160=0,"",IF('Metric Data'!AG149&gt;=1, INDEX(Metric_Incremental[], MATCH('Metric Data'!AG149, Metric_Incremental[Height], 1), MATCH('Cumulative Volumes Metric'!$F$4 &amp; "EC", Metric_Incremental[#Headers], 0)), 0))</f>
        <v/>
      </c>
      <c r="F160" s="30" t="str">
        <f t="shared" si="43"/>
        <v/>
      </c>
      <c r="G160" s="30" t="str">
        <f t="shared" si="44"/>
        <v/>
      </c>
      <c r="H160" s="30" t="str">
        <f>IF(A160=0,"",IF('Cumulative Volumes Metric'!$AR$17=FALSE,J160,I160))</f>
        <v/>
      </c>
      <c r="I160" s="30" t="str">
        <f t="shared" si="45"/>
        <v/>
      </c>
      <c r="J160" s="30" t="str">
        <f t="shared" si="46"/>
        <v/>
      </c>
      <c r="K160" s="30" t="str">
        <f>IF(A160=0,"",IF('Cumulative Volumes Metric'!$AR$17=FALSE,M160,L160))</f>
        <v/>
      </c>
      <c r="L160" s="30" t="str">
        <f t="shared" si="47"/>
        <v/>
      </c>
      <c r="M160" s="30" t="str">
        <f t="shared" si="48"/>
        <v/>
      </c>
      <c r="N160" s="30" t="str">
        <f>IF(($E$8/25.4)+45+($E$9/25.4)&gt;989,"FALSE",IF(A160="","",IF('Cumulative Volumes Metric'!$AR$17=FALSE,P160,O160)))</f>
        <v/>
      </c>
      <c r="O160" s="30" t="str">
        <f t="shared" si="49"/>
        <v/>
      </c>
      <c r="P160" s="30" t="str">
        <f>IF(A160=0,"",IF('Cumulative Volumes Metric'!$AR$17=FALSE,(U160*$E$4)+(V160*$E$5),O160))</f>
        <v/>
      </c>
      <c r="Q160" s="30" t="str">
        <f>IF(A160=0,"",(((25.4/1000)*'Metric Data'!$AC$4*'Metric Data'!$AC$5)-D160)*($E$6/100))</f>
        <v/>
      </c>
      <c r="R160" s="30" t="str">
        <f t="shared" si="50"/>
        <v/>
      </c>
      <c r="S160" s="30" t="str">
        <f>IF(A160=0,"",(((25.4/1000)*'Metric Data'!$AC$5*'Metric Data'!$AC$7)-E160)*($E$6/100))</f>
        <v/>
      </c>
      <c r="T160" s="30" t="str">
        <f t="shared" si="51"/>
        <v/>
      </c>
      <c r="U160" s="30" t="str">
        <f t="shared" si="52"/>
        <v/>
      </c>
      <c r="V160" s="30" t="str">
        <f t="shared" si="53"/>
        <v/>
      </c>
      <c r="W160" s="30" t="str">
        <f t="shared" si="54"/>
        <v/>
      </c>
    </row>
    <row r="161" spans="1:23" x14ac:dyDescent="0.2">
      <c r="A161" s="34">
        <f t="shared" si="41"/>
        <v>0</v>
      </c>
      <c r="B161" s="34">
        <v>148</v>
      </c>
      <c r="C161" s="34">
        <f t="shared" si="42"/>
        <v>0</v>
      </c>
      <c r="D161" s="30" t="str">
        <f>IF(A161=0,"",IF('Metric Data'!AG150&gt;=1, INDEX(Metric_Incremental[], MATCH('Metric Data'!AG150, Metric_Incremental[Height], 1), MATCH('Cumulative Volumes Metric'!$F$4, Metric_Incremental[#Headers], 0)), 0))</f>
        <v/>
      </c>
      <c r="E161" s="80" t="str">
        <f>IF(A161=0,"",IF('Metric Data'!AG150&gt;=1, INDEX(Metric_Incremental[], MATCH('Metric Data'!AG150, Metric_Incremental[Height], 1), MATCH('Cumulative Volumes Metric'!$F$4 &amp; "EC", Metric_Incremental[#Headers], 0)), 0))</f>
        <v/>
      </c>
      <c r="F161" s="30" t="str">
        <f t="shared" si="43"/>
        <v/>
      </c>
      <c r="G161" s="30" t="str">
        <f t="shared" si="44"/>
        <v/>
      </c>
      <c r="H161" s="30" t="str">
        <f>IF(A161=0,"",IF('Cumulative Volumes Metric'!$AR$17=FALSE,J161,I161))</f>
        <v/>
      </c>
      <c r="I161" s="30" t="str">
        <f t="shared" si="45"/>
        <v/>
      </c>
      <c r="J161" s="30" t="str">
        <f t="shared" si="46"/>
        <v/>
      </c>
      <c r="K161" s="30" t="str">
        <f>IF(A161=0,"",IF('Cumulative Volumes Metric'!$AR$17=FALSE,M161,L161))</f>
        <v/>
      </c>
      <c r="L161" s="30" t="str">
        <f t="shared" si="47"/>
        <v/>
      </c>
      <c r="M161" s="30" t="str">
        <f t="shared" si="48"/>
        <v/>
      </c>
      <c r="N161" s="30" t="str">
        <f>IF(($E$8/25.4)+45+($E$9/25.4)&gt;989,"FALSE",IF(A161="","",IF('Cumulative Volumes Metric'!$AR$17=FALSE,P161,O161)))</f>
        <v/>
      </c>
      <c r="O161" s="30" t="str">
        <f t="shared" si="49"/>
        <v/>
      </c>
      <c r="P161" s="30" t="str">
        <f>IF(A161=0,"",IF('Cumulative Volumes Metric'!$AR$17=FALSE,(U161*$E$4)+(V161*$E$5),O161))</f>
        <v/>
      </c>
      <c r="Q161" s="30" t="str">
        <f>IF(A161=0,"",(((25.4/1000)*'Metric Data'!$AC$4*'Metric Data'!$AC$5)-D161)*($E$6/100))</f>
        <v/>
      </c>
      <c r="R161" s="30" t="str">
        <f t="shared" si="50"/>
        <v/>
      </c>
      <c r="S161" s="30" t="str">
        <f>IF(A161=0,"",(((25.4/1000)*'Metric Data'!$AC$5*'Metric Data'!$AC$7)-E161)*($E$6/100))</f>
        <v/>
      </c>
      <c r="T161" s="30" t="str">
        <f t="shared" si="51"/>
        <v/>
      </c>
      <c r="U161" s="30" t="str">
        <f t="shared" si="52"/>
        <v/>
      </c>
      <c r="V161" s="30" t="str">
        <f t="shared" si="53"/>
        <v/>
      </c>
      <c r="W161" s="30" t="str">
        <f t="shared" si="54"/>
        <v/>
      </c>
    </row>
    <row r="162" spans="1:23" x14ac:dyDescent="0.2">
      <c r="A162" s="34">
        <f t="shared" si="41"/>
        <v>0</v>
      </c>
      <c r="B162" s="34">
        <v>149</v>
      </c>
      <c r="C162" s="34">
        <f t="shared" si="42"/>
        <v>0</v>
      </c>
      <c r="D162" s="30" t="str">
        <f>IF(A162=0,"",IF('Metric Data'!AG151&gt;=1, INDEX(Metric_Incremental[], MATCH('Metric Data'!AG151, Metric_Incremental[Height], 1), MATCH('Cumulative Volumes Metric'!$F$4, Metric_Incremental[#Headers], 0)), 0))</f>
        <v/>
      </c>
      <c r="E162" s="80" t="str">
        <f>IF(A162=0,"",IF('Metric Data'!AG151&gt;=1, INDEX(Metric_Incremental[], MATCH('Metric Data'!AG151, Metric_Incremental[Height], 1), MATCH('Cumulative Volumes Metric'!$F$4 &amp; "EC", Metric_Incremental[#Headers], 0)), 0))</f>
        <v/>
      </c>
      <c r="F162" s="30" t="str">
        <f t="shared" si="43"/>
        <v/>
      </c>
      <c r="G162" s="30" t="str">
        <f t="shared" si="44"/>
        <v/>
      </c>
      <c r="H162" s="30" t="str">
        <f>IF(A162=0,"",IF('Cumulative Volumes Metric'!$AR$17=FALSE,J162,I162))</f>
        <v/>
      </c>
      <c r="I162" s="30" t="str">
        <f t="shared" si="45"/>
        <v/>
      </c>
      <c r="J162" s="30" t="str">
        <f t="shared" si="46"/>
        <v/>
      </c>
      <c r="K162" s="30" t="str">
        <f>IF(A162=0,"",IF('Cumulative Volumes Metric'!$AR$17=FALSE,M162,L162))</f>
        <v/>
      </c>
      <c r="L162" s="30" t="str">
        <f t="shared" si="47"/>
        <v/>
      </c>
      <c r="M162" s="30" t="str">
        <f t="shared" si="48"/>
        <v/>
      </c>
      <c r="N162" s="30" t="str">
        <f>IF(($E$8/25.4)+45+($E$9/25.4)&gt;989,"FALSE",IF(A162="","",IF('Cumulative Volumes Metric'!$AR$17=FALSE,P162,O162)))</f>
        <v/>
      </c>
      <c r="O162" s="30" t="str">
        <f t="shared" si="49"/>
        <v/>
      </c>
      <c r="P162" s="30" t="str">
        <f>IF(A162=0,"",IF('Cumulative Volumes Metric'!$AR$17=FALSE,(U162*$E$4)+(V162*$E$5),O162))</f>
        <v/>
      </c>
      <c r="Q162" s="30" t="str">
        <f>IF(A162=0,"",(((25.4/1000)*'Metric Data'!$AC$4*'Metric Data'!$AC$5)-D162)*($E$6/100))</f>
        <v/>
      </c>
      <c r="R162" s="30" t="str">
        <f t="shared" si="50"/>
        <v/>
      </c>
      <c r="S162" s="30" t="str">
        <f>IF(A162=0,"",(((25.4/1000)*'Metric Data'!$AC$5*'Metric Data'!$AC$7)-E162)*($E$6/100))</f>
        <v/>
      </c>
      <c r="T162" s="30" t="str">
        <f t="shared" si="51"/>
        <v/>
      </c>
      <c r="U162" s="30" t="str">
        <f t="shared" si="52"/>
        <v/>
      </c>
      <c r="V162" s="30" t="str">
        <f t="shared" si="53"/>
        <v/>
      </c>
      <c r="W162" s="30" t="str">
        <f t="shared" si="54"/>
        <v/>
      </c>
    </row>
    <row r="163" spans="1:23" x14ac:dyDescent="0.2">
      <c r="A163" s="34">
        <f t="shared" si="41"/>
        <v>0</v>
      </c>
      <c r="B163" s="34">
        <v>150</v>
      </c>
      <c r="C163" s="34">
        <f t="shared" si="42"/>
        <v>0</v>
      </c>
      <c r="D163" s="30" t="str">
        <f>IF(A163=0,"",IF('Metric Data'!AG152&gt;=1, INDEX(Metric_Incremental[], MATCH('Metric Data'!AG152, Metric_Incremental[Height], 1), MATCH('Cumulative Volumes Metric'!$F$4, Metric_Incremental[#Headers], 0)), 0))</f>
        <v/>
      </c>
      <c r="E163" s="80" t="str">
        <f>IF(A163=0,"",IF('Metric Data'!AG152&gt;=1, INDEX(Metric_Incremental[], MATCH('Metric Data'!AG152, Metric_Incremental[Height], 1), MATCH('Cumulative Volumes Metric'!$F$4 &amp; "EC", Metric_Incremental[#Headers], 0)), 0))</f>
        <v/>
      </c>
      <c r="F163" s="30" t="str">
        <f t="shared" si="43"/>
        <v/>
      </c>
      <c r="G163" s="30" t="str">
        <f t="shared" si="44"/>
        <v/>
      </c>
      <c r="H163" s="30" t="str">
        <f>IF(A163=0,"",IF('Cumulative Volumes Metric'!$AR$17=FALSE,J163,I163))</f>
        <v/>
      </c>
      <c r="I163" s="30" t="str">
        <f t="shared" si="45"/>
        <v/>
      </c>
      <c r="J163" s="30" t="str">
        <f t="shared" si="46"/>
        <v/>
      </c>
      <c r="K163" s="30" t="str">
        <f>IF(A163=0,"",IF('Cumulative Volumes Metric'!$AR$17=FALSE,M163,L163))</f>
        <v/>
      </c>
      <c r="L163" s="30" t="str">
        <f t="shared" si="47"/>
        <v/>
      </c>
      <c r="M163" s="30" t="str">
        <f t="shared" si="48"/>
        <v/>
      </c>
      <c r="N163" s="30" t="str">
        <f>IF(($E$8/25.4)+45+($E$9/25.4)&gt;989,"FALSE",IF(A163="","",IF('Cumulative Volumes Metric'!$AR$17=FALSE,P163,O163)))</f>
        <v/>
      </c>
      <c r="O163" s="30" t="str">
        <f t="shared" si="49"/>
        <v/>
      </c>
      <c r="P163" s="30" t="str">
        <f>IF(A163=0,"",IF('Cumulative Volumes Metric'!$AR$17=FALSE,(U163*$E$4)+(V163*$E$5),O163))</f>
        <v/>
      </c>
      <c r="Q163" s="30" t="str">
        <f>IF(A163=0,"",(((25.4/1000)*'Metric Data'!$AC$4*'Metric Data'!$AC$5)-D163)*($E$6/100))</f>
        <v/>
      </c>
      <c r="R163" s="30" t="str">
        <f t="shared" si="50"/>
        <v/>
      </c>
      <c r="S163" s="30" t="str">
        <f>IF(A163=0,"",(((25.4/1000)*'Metric Data'!$AC$5*'Metric Data'!$AC$7)-E163)*($E$6/100))</f>
        <v/>
      </c>
      <c r="T163" s="30" t="str">
        <f t="shared" si="51"/>
        <v/>
      </c>
      <c r="U163" s="30" t="str">
        <f t="shared" si="52"/>
        <v/>
      </c>
      <c r="V163" s="30" t="str">
        <f t="shared" si="53"/>
        <v/>
      </c>
      <c r="W163" s="30" t="str">
        <f t="shared" si="54"/>
        <v/>
      </c>
    </row>
    <row r="164" spans="1:23" x14ac:dyDescent="0.2">
      <c r="A164" s="34">
        <f t="shared" si="41"/>
        <v>0</v>
      </c>
      <c r="B164" s="34">
        <v>151</v>
      </c>
      <c r="C164" s="34">
        <f t="shared" si="42"/>
        <v>0</v>
      </c>
      <c r="D164" s="30" t="str">
        <f>IF(A164=0,"",IF('Metric Data'!AG153&gt;=1, INDEX(Metric_Incremental[], MATCH('Metric Data'!AG153, Metric_Incremental[Height], 1), MATCH('Cumulative Volumes Metric'!$F$4, Metric_Incremental[#Headers], 0)), 0))</f>
        <v/>
      </c>
      <c r="E164" s="80" t="str">
        <f>IF(A164=0,"",IF('Metric Data'!AG153&gt;=1, INDEX(Metric_Incremental[], MATCH('Metric Data'!AG153, Metric_Incremental[Height], 1), MATCH('Cumulative Volumes Metric'!$F$4 &amp; "EC", Metric_Incremental[#Headers], 0)), 0))</f>
        <v/>
      </c>
      <c r="F164" s="30" t="str">
        <f t="shared" si="43"/>
        <v/>
      </c>
      <c r="G164" s="30" t="str">
        <f t="shared" si="44"/>
        <v/>
      </c>
      <c r="H164" s="30" t="str">
        <f>IF(A164=0,"",IF('Cumulative Volumes Metric'!$AR$17=FALSE,J164,I164))</f>
        <v/>
      </c>
      <c r="I164" s="30" t="str">
        <f t="shared" si="45"/>
        <v/>
      </c>
      <c r="J164" s="30" t="str">
        <f t="shared" si="46"/>
        <v/>
      </c>
      <c r="K164" s="30" t="str">
        <f>IF(A164=0,"",IF('Cumulative Volumes Metric'!$AR$17=FALSE,M164,L164))</f>
        <v/>
      </c>
      <c r="L164" s="30" t="str">
        <f t="shared" si="47"/>
        <v/>
      </c>
      <c r="M164" s="30" t="str">
        <f t="shared" si="48"/>
        <v/>
      </c>
      <c r="N164" s="30" t="str">
        <f>IF(($E$8/25.4)+45+($E$9/25.4)&gt;989,"FALSE",IF(A164="","",IF('Cumulative Volumes Metric'!$AR$17=FALSE,P164,O164)))</f>
        <v/>
      </c>
      <c r="O164" s="30" t="str">
        <f t="shared" si="49"/>
        <v/>
      </c>
      <c r="P164" s="30" t="str">
        <f>IF(A164=0,"",IF('Cumulative Volumes Metric'!$AR$17=FALSE,(U164*$E$4)+(V164*$E$5),O164))</f>
        <v/>
      </c>
      <c r="Q164" s="30" t="str">
        <f>IF(A164=0,"",(((25.4/1000)*'Metric Data'!$AC$4*'Metric Data'!$AC$5)-D164)*($E$6/100))</f>
        <v/>
      </c>
      <c r="R164" s="30" t="str">
        <f t="shared" si="50"/>
        <v/>
      </c>
      <c r="S164" s="30" t="str">
        <f>IF(A164=0,"",(((25.4/1000)*'Metric Data'!$AC$5*'Metric Data'!$AC$7)-E164)*($E$6/100))</f>
        <v/>
      </c>
      <c r="T164" s="30" t="str">
        <f t="shared" si="51"/>
        <v/>
      </c>
      <c r="U164" s="30" t="str">
        <f t="shared" si="52"/>
        <v/>
      </c>
      <c r="V164" s="30" t="str">
        <f t="shared" si="53"/>
        <v/>
      </c>
      <c r="W164" s="30" t="str">
        <f t="shared" si="54"/>
        <v/>
      </c>
    </row>
    <row r="165" spans="1:23" x14ac:dyDescent="0.2">
      <c r="A165" s="34">
        <f t="shared" si="41"/>
        <v>0</v>
      </c>
      <c r="B165" s="34">
        <v>152</v>
      </c>
      <c r="C165" s="34">
        <f t="shared" si="42"/>
        <v>0</v>
      </c>
      <c r="D165" s="30" t="str">
        <f>IF(A165=0,"",IF('Metric Data'!AG154&gt;=1, INDEX(Metric_Incremental[], MATCH('Metric Data'!AG154, Metric_Incremental[Height], 1), MATCH('Cumulative Volumes Metric'!$F$4, Metric_Incremental[#Headers], 0)), 0))</f>
        <v/>
      </c>
      <c r="E165" s="80" t="str">
        <f>IF(A165=0,"",IF('Metric Data'!AG154&gt;=1, INDEX(Metric_Incremental[], MATCH('Metric Data'!AG154, Metric_Incremental[Height], 1), MATCH('Cumulative Volumes Metric'!$F$4 &amp; "EC", Metric_Incremental[#Headers], 0)), 0))</f>
        <v/>
      </c>
      <c r="F165" s="30" t="str">
        <f t="shared" si="43"/>
        <v/>
      </c>
      <c r="G165" s="30" t="str">
        <f t="shared" si="44"/>
        <v/>
      </c>
      <c r="H165" s="30" t="str">
        <f>IF(A165=0,"",IF('Cumulative Volumes Metric'!$AR$17=FALSE,J165,I165))</f>
        <v/>
      </c>
      <c r="I165" s="30" t="str">
        <f t="shared" si="45"/>
        <v/>
      </c>
      <c r="J165" s="30" t="str">
        <f t="shared" si="46"/>
        <v/>
      </c>
      <c r="K165" s="30" t="str">
        <f>IF(A165=0,"",IF('Cumulative Volumes Metric'!$AR$17=FALSE,M165,L165))</f>
        <v/>
      </c>
      <c r="L165" s="30" t="str">
        <f t="shared" si="47"/>
        <v/>
      </c>
      <c r="M165" s="30" t="str">
        <f t="shared" si="48"/>
        <v/>
      </c>
      <c r="N165" s="30" t="str">
        <f>IF(($E$8/25.4)+45+($E$9/25.4)&gt;989,"FALSE",IF(A165="","",IF('Cumulative Volumes Metric'!$AR$17=FALSE,P165,O165)))</f>
        <v/>
      </c>
      <c r="O165" s="30" t="str">
        <f t="shared" si="49"/>
        <v/>
      </c>
      <c r="P165" s="30" t="str">
        <f>IF(A165=0,"",IF('Cumulative Volumes Metric'!$AR$17=FALSE,(U165*$E$4)+(V165*$E$5),O165))</f>
        <v/>
      </c>
      <c r="Q165" s="30" t="str">
        <f>IF(A165=0,"",(((25.4/1000)*'Metric Data'!$AC$4*'Metric Data'!$AC$5)-D165)*($E$6/100))</f>
        <v/>
      </c>
      <c r="R165" s="30" t="str">
        <f t="shared" si="50"/>
        <v/>
      </c>
      <c r="S165" s="30" t="str">
        <f>IF(A165=0,"",(((25.4/1000)*'Metric Data'!$AC$5*'Metric Data'!$AC$7)-E165)*($E$6/100))</f>
        <v/>
      </c>
      <c r="T165" s="30" t="str">
        <f t="shared" si="51"/>
        <v/>
      </c>
      <c r="U165" s="30" t="str">
        <f t="shared" si="52"/>
        <v/>
      </c>
      <c r="V165" s="30" t="str">
        <f t="shared" si="53"/>
        <v/>
      </c>
      <c r="W165" s="30" t="str">
        <f t="shared" si="54"/>
        <v/>
      </c>
    </row>
    <row r="166" spans="1:23" x14ac:dyDescent="0.2">
      <c r="A166" s="34">
        <f t="shared" si="41"/>
        <v>0</v>
      </c>
      <c r="B166" s="34">
        <v>153</v>
      </c>
      <c r="C166" s="34">
        <f t="shared" si="42"/>
        <v>0</v>
      </c>
      <c r="D166" s="30" t="str">
        <f>IF(A166=0,"",IF('Metric Data'!AG155&gt;=1, INDEX(Metric_Incremental[], MATCH('Metric Data'!AG155, Metric_Incremental[Height], 1), MATCH('Cumulative Volumes Metric'!$F$4, Metric_Incremental[#Headers], 0)), 0))</f>
        <v/>
      </c>
      <c r="E166" s="80" t="str">
        <f>IF(A166=0,"",IF('Metric Data'!AG155&gt;=1, INDEX(Metric_Incremental[], MATCH('Metric Data'!AG155, Metric_Incremental[Height], 1), MATCH('Cumulative Volumes Metric'!$F$4 &amp; "EC", Metric_Incremental[#Headers], 0)), 0))</f>
        <v/>
      </c>
      <c r="F166" s="30" t="str">
        <f t="shared" si="43"/>
        <v/>
      </c>
      <c r="G166" s="30" t="str">
        <f t="shared" si="44"/>
        <v/>
      </c>
      <c r="H166" s="30" t="str">
        <f>IF(A166=0,"",IF('Cumulative Volumes Metric'!$AR$17=FALSE,J166,I166))</f>
        <v/>
      </c>
      <c r="I166" s="30" t="str">
        <f t="shared" si="45"/>
        <v/>
      </c>
      <c r="J166" s="30" t="str">
        <f t="shared" si="46"/>
        <v/>
      </c>
      <c r="K166" s="30" t="str">
        <f>IF(A166=0,"",IF('Cumulative Volumes Metric'!$AR$17=FALSE,M166,L166))</f>
        <v/>
      </c>
      <c r="L166" s="30" t="str">
        <f t="shared" si="47"/>
        <v/>
      </c>
      <c r="M166" s="30" t="str">
        <f t="shared" si="48"/>
        <v/>
      </c>
      <c r="N166" s="30" t="str">
        <f>IF(($E$8/25.4)+45+($E$9/25.4)&gt;989,"FALSE",IF(A166="","",IF('Cumulative Volumes Metric'!$AR$17=FALSE,P166,O166)))</f>
        <v/>
      </c>
      <c r="O166" s="30" t="str">
        <f t="shared" si="49"/>
        <v/>
      </c>
      <c r="P166" s="30" t="str">
        <f>IF(A166=0,"",IF('Cumulative Volumes Metric'!$AR$17=FALSE,(U166*$E$4)+(V166*$E$5),O166))</f>
        <v/>
      </c>
      <c r="Q166" s="30" t="str">
        <f>IF(A166=0,"",(((25.4/1000)*'Metric Data'!$AC$4*'Metric Data'!$AC$5)-D166)*($E$6/100))</f>
        <v/>
      </c>
      <c r="R166" s="30" t="str">
        <f t="shared" si="50"/>
        <v/>
      </c>
      <c r="S166" s="30" t="str">
        <f>IF(A166=0,"",(((25.4/1000)*'Metric Data'!$AC$5*'Metric Data'!$AC$7)-E166)*($E$6/100))</f>
        <v/>
      </c>
      <c r="T166" s="30" t="str">
        <f t="shared" si="51"/>
        <v/>
      </c>
      <c r="U166" s="30" t="str">
        <f t="shared" si="52"/>
        <v/>
      </c>
      <c r="V166" s="30" t="str">
        <f t="shared" si="53"/>
        <v/>
      </c>
      <c r="W166" s="30" t="str">
        <f t="shared" si="54"/>
        <v/>
      </c>
    </row>
    <row r="167" spans="1:23" x14ac:dyDescent="0.2">
      <c r="A167" s="34">
        <f t="shared" si="41"/>
        <v>0</v>
      </c>
      <c r="B167" s="34">
        <v>154</v>
      </c>
      <c r="C167" s="34">
        <f t="shared" si="42"/>
        <v>0</v>
      </c>
      <c r="D167" s="30" t="str">
        <f>IF(A167=0,"",IF('Metric Data'!AG156&gt;=1, INDEX(Metric_Incremental[], MATCH('Metric Data'!AG156, Metric_Incremental[Height], 1), MATCH('Cumulative Volumes Metric'!$F$4, Metric_Incremental[#Headers], 0)), 0))</f>
        <v/>
      </c>
      <c r="E167" s="80" t="str">
        <f>IF(A167=0,"",IF('Metric Data'!AG156&gt;=1, INDEX(Metric_Incremental[], MATCH('Metric Data'!AG156, Metric_Incremental[Height], 1), MATCH('Cumulative Volumes Metric'!$F$4 &amp; "EC", Metric_Incremental[#Headers], 0)), 0))</f>
        <v/>
      </c>
      <c r="F167" s="30" t="str">
        <f t="shared" si="43"/>
        <v/>
      </c>
      <c r="G167" s="30" t="str">
        <f t="shared" si="44"/>
        <v/>
      </c>
      <c r="H167" s="30" t="str">
        <f>IF(A167=0,"",IF('Cumulative Volumes Metric'!$AR$17=FALSE,J167,I167))</f>
        <v/>
      </c>
      <c r="I167" s="30" t="str">
        <f t="shared" si="45"/>
        <v/>
      </c>
      <c r="J167" s="30" t="str">
        <f t="shared" si="46"/>
        <v/>
      </c>
      <c r="K167" s="30" t="str">
        <f>IF(A167=0,"",IF('Cumulative Volumes Metric'!$AR$17=FALSE,M167,L167))</f>
        <v/>
      </c>
      <c r="L167" s="30" t="str">
        <f t="shared" si="47"/>
        <v/>
      </c>
      <c r="M167" s="30" t="str">
        <f t="shared" si="48"/>
        <v/>
      </c>
      <c r="N167" s="30" t="str">
        <f>IF(($E$8/25.4)+45+($E$9/25.4)&gt;989,"FALSE",IF(A167="","",IF('Cumulative Volumes Metric'!$AR$17=FALSE,P167,O167)))</f>
        <v/>
      </c>
      <c r="O167" s="30" t="str">
        <f t="shared" si="49"/>
        <v/>
      </c>
      <c r="P167" s="30" t="str">
        <f>IF(A167=0,"",IF('Cumulative Volumes Metric'!$AR$17=FALSE,(U167*$E$4)+(V167*$E$5),O167))</f>
        <v/>
      </c>
      <c r="Q167" s="30" t="str">
        <f>IF(A167=0,"",(((25.4/1000)*'Metric Data'!$AC$4*'Metric Data'!$AC$5)-D167)*($E$6/100))</f>
        <v/>
      </c>
      <c r="R167" s="30" t="str">
        <f t="shared" si="50"/>
        <v/>
      </c>
      <c r="S167" s="30" t="str">
        <f>IF(A167=0,"",(((25.4/1000)*'Metric Data'!$AC$5*'Metric Data'!$AC$7)-E167)*($E$6/100))</f>
        <v/>
      </c>
      <c r="T167" s="30" t="str">
        <f t="shared" si="51"/>
        <v/>
      </c>
      <c r="U167" s="30" t="str">
        <f t="shared" si="52"/>
        <v/>
      </c>
      <c r="V167" s="30" t="str">
        <f t="shared" si="53"/>
        <v/>
      </c>
      <c r="W167" s="30" t="str">
        <f t="shared" si="54"/>
        <v/>
      </c>
    </row>
    <row r="168" spans="1:23" x14ac:dyDescent="0.2">
      <c r="A168" s="34">
        <f t="shared" si="41"/>
        <v>0</v>
      </c>
      <c r="B168" s="34">
        <v>155</v>
      </c>
      <c r="C168" s="34">
        <f t="shared" si="42"/>
        <v>0</v>
      </c>
      <c r="D168" s="30" t="str">
        <f>IF(A168=0,"",IF('Metric Data'!AG157&gt;=1, INDEX(Metric_Incremental[], MATCH('Metric Data'!AG157, Metric_Incremental[Height], 1), MATCH('Cumulative Volumes Metric'!$F$4, Metric_Incremental[#Headers], 0)), 0))</f>
        <v/>
      </c>
      <c r="E168" s="80" t="str">
        <f>IF(A168=0,"",IF('Metric Data'!AG157&gt;=1, INDEX(Metric_Incremental[], MATCH('Metric Data'!AG157, Metric_Incremental[Height], 1), MATCH('Cumulative Volumes Metric'!$F$4 &amp; "EC", Metric_Incremental[#Headers], 0)), 0))</f>
        <v/>
      </c>
      <c r="F168" s="30" t="str">
        <f t="shared" si="43"/>
        <v/>
      </c>
      <c r="G168" s="30" t="str">
        <f t="shared" si="44"/>
        <v/>
      </c>
      <c r="H168" s="30" t="str">
        <f>IF(A168=0,"",IF('Cumulative Volumes Metric'!$AR$17=FALSE,J168,I168))</f>
        <v/>
      </c>
      <c r="I168" s="30" t="str">
        <f t="shared" si="45"/>
        <v/>
      </c>
      <c r="J168" s="30" t="str">
        <f t="shared" si="46"/>
        <v/>
      </c>
      <c r="K168" s="30" t="str">
        <f>IF(A168=0,"",IF('Cumulative Volumes Metric'!$AR$17=FALSE,M168,L168))</f>
        <v/>
      </c>
      <c r="L168" s="30" t="str">
        <f t="shared" si="47"/>
        <v/>
      </c>
      <c r="M168" s="30" t="str">
        <f t="shared" si="48"/>
        <v/>
      </c>
      <c r="N168" s="30" t="str">
        <f>IF(($E$8/25.4)+45+($E$9/25.4)&gt;989,"FALSE",IF(A168="","",IF('Cumulative Volumes Metric'!$AR$17=FALSE,P168,O168)))</f>
        <v/>
      </c>
      <c r="O168" s="30" t="str">
        <f t="shared" si="49"/>
        <v/>
      </c>
      <c r="P168" s="30" t="str">
        <f>IF(A168=0,"",IF('Cumulative Volumes Metric'!$AR$17=FALSE,(U168*$E$4)+(V168*$E$5),O168))</f>
        <v/>
      </c>
      <c r="Q168" s="30" t="str">
        <f>IF(A168=0,"",(((25.4/1000)*'Metric Data'!$AC$4*'Metric Data'!$AC$5)-D168)*($E$6/100))</f>
        <v/>
      </c>
      <c r="R168" s="30" t="str">
        <f t="shared" si="50"/>
        <v/>
      </c>
      <c r="S168" s="30" t="str">
        <f>IF(A168=0,"",(((25.4/1000)*'Metric Data'!$AC$5*'Metric Data'!$AC$7)-E168)*($E$6/100))</f>
        <v/>
      </c>
      <c r="T168" s="30" t="str">
        <f t="shared" si="51"/>
        <v/>
      </c>
      <c r="U168" s="30" t="str">
        <f t="shared" si="52"/>
        <v/>
      </c>
      <c r="V168" s="30" t="str">
        <f t="shared" si="53"/>
        <v/>
      </c>
      <c r="W168" s="30" t="str">
        <f t="shared" si="54"/>
        <v/>
      </c>
    </row>
    <row r="169" spans="1:23" x14ac:dyDescent="0.2">
      <c r="A169" s="34">
        <f t="shared" si="41"/>
        <v>0</v>
      </c>
      <c r="B169" s="34">
        <v>156</v>
      </c>
      <c r="C169" s="34">
        <f t="shared" si="42"/>
        <v>0</v>
      </c>
      <c r="D169" s="30" t="str">
        <f>IF(A169=0,"",IF('Metric Data'!AG158&gt;=1, INDEX(Metric_Incremental[], MATCH('Metric Data'!AG158, Metric_Incremental[Height], 1), MATCH('Cumulative Volumes Metric'!$F$4, Metric_Incremental[#Headers], 0)), 0))</f>
        <v/>
      </c>
      <c r="E169" s="80" t="str">
        <f>IF(A169=0,"",IF('Metric Data'!AG158&gt;=1, INDEX(Metric_Incremental[], MATCH('Metric Data'!AG158, Metric_Incremental[Height], 1), MATCH('Cumulative Volumes Metric'!$F$4 &amp; "EC", Metric_Incremental[#Headers], 0)), 0))</f>
        <v/>
      </c>
      <c r="F169" s="30" t="str">
        <f t="shared" si="43"/>
        <v/>
      </c>
      <c r="G169" s="30" t="str">
        <f t="shared" si="44"/>
        <v/>
      </c>
      <c r="H169" s="30" t="str">
        <f>IF(A169=0,"",IF('Cumulative Volumes Metric'!$AR$17=FALSE,J169,I169))</f>
        <v/>
      </c>
      <c r="I169" s="30" t="str">
        <f t="shared" si="45"/>
        <v/>
      </c>
      <c r="J169" s="30" t="str">
        <f t="shared" si="46"/>
        <v/>
      </c>
      <c r="K169" s="30" t="str">
        <f>IF(A169=0,"",IF('Cumulative Volumes Metric'!$AR$17=FALSE,M169,L169))</f>
        <v/>
      </c>
      <c r="L169" s="30" t="str">
        <f t="shared" si="47"/>
        <v/>
      </c>
      <c r="M169" s="30" t="str">
        <f t="shared" si="48"/>
        <v/>
      </c>
      <c r="N169" s="30" t="str">
        <f>IF(($E$8/25.4)+45+($E$9/25.4)&gt;989,"FALSE",IF(A169="","",IF('Cumulative Volumes Metric'!$AR$17=FALSE,P169,O169)))</f>
        <v/>
      </c>
      <c r="O169" s="30" t="str">
        <f t="shared" si="49"/>
        <v/>
      </c>
      <c r="P169" s="30" t="str">
        <f>IF(A169=0,"",IF('Cumulative Volumes Metric'!$AR$17=FALSE,(U169*$E$4)+(V169*$E$5),O169))</f>
        <v/>
      </c>
      <c r="Q169" s="30" t="str">
        <f>IF(A169=0,"",(((25.4/1000)*'Metric Data'!$AC$4*'Metric Data'!$AC$5)-D169)*($E$6/100))</f>
        <v/>
      </c>
      <c r="R169" s="30" t="str">
        <f t="shared" si="50"/>
        <v/>
      </c>
      <c r="S169" s="30" t="str">
        <f>IF(A169=0,"",(((25.4/1000)*'Metric Data'!$AC$5*'Metric Data'!$AC$7)-E169)*($E$6/100))</f>
        <v/>
      </c>
      <c r="T169" s="30" t="str">
        <f t="shared" si="51"/>
        <v/>
      </c>
      <c r="U169" s="30" t="str">
        <f t="shared" si="52"/>
        <v/>
      </c>
      <c r="V169" s="30" t="str">
        <f t="shared" si="53"/>
        <v/>
      </c>
      <c r="W169" s="30" t="str">
        <f t="shared" si="54"/>
        <v/>
      </c>
    </row>
    <row r="170" spans="1:23" x14ac:dyDescent="0.2">
      <c r="A170" s="34">
        <f t="shared" si="41"/>
        <v>0</v>
      </c>
      <c r="B170" s="34">
        <v>157</v>
      </c>
      <c r="C170" s="34">
        <f t="shared" si="42"/>
        <v>0</v>
      </c>
      <c r="D170" s="30" t="str">
        <f>IF(A170=0,"",IF('Metric Data'!AG159&gt;=1, INDEX(Metric_Incremental[], MATCH('Metric Data'!AG159, Metric_Incremental[Height], 1), MATCH('Cumulative Volumes Metric'!$F$4, Metric_Incremental[#Headers], 0)), 0))</f>
        <v/>
      </c>
      <c r="E170" s="80" t="str">
        <f>IF(A170=0,"",IF('Metric Data'!AG159&gt;=1, INDEX(Metric_Incremental[], MATCH('Metric Data'!AG159, Metric_Incremental[Height], 1), MATCH('Cumulative Volumes Metric'!$F$4 &amp; "EC", Metric_Incremental[#Headers], 0)), 0))</f>
        <v/>
      </c>
      <c r="F170" s="30" t="str">
        <f t="shared" si="43"/>
        <v/>
      </c>
      <c r="G170" s="30" t="str">
        <f t="shared" si="44"/>
        <v/>
      </c>
      <c r="H170" s="30" t="str">
        <f>IF(A170=0,"",IF('Cumulative Volumes Metric'!$AR$17=FALSE,J170,I170))</f>
        <v/>
      </c>
      <c r="I170" s="30" t="str">
        <f t="shared" si="45"/>
        <v/>
      </c>
      <c r="J170" s="30" t="str">
        <f t="shared" si="46"/>
        <v/>
      </c>
      <c r="K170" s="30" t="str">
        <f>IF(A170=0,"",IF('Cumulative Volumes Metric'!$AR$17=FALSE,M170,L170))</f>
        <v/>
      </c>
      <c r="L170" s="30" t="str">
        <f t="shared" si="47"/>
        <v/>
      </c>
      <c r="M170" s="30" t="str">
        <f t="shared" si="48"/>
        <v/>
      </c>
      <c r="N170" s="30" t="str">
        <f>IF(($E$8/25.4)+45+($E$9/25.4)&gt;989,"FALSE",IF(A170="","",IF('Cumulative Volumes Metric'!$AR$17=FALSE,P170,O170)))</f>
        <v/>
      </c>
      <c r="O170" s="30" t="str">
        <f t="shared" si="49"/>
        <v/>
      </c>
      <c r="P170" s="30" t="str">
        <f>IF(A170=0,"",IF('Cumulative Volumes Metric'!$AR$17=FALSE,(U170*$E$4)+(V170*$E$5),O170))</f>
        <v/>
      </c>
      <c r="Q170" s="30" t="str">
        <f>IF(A170=0,"",(((25.4/1000)*'Metric Data'!$AC$4*'Metric Data'!$AC$5)-D170)*($E$6/100))</f>
        <v/>
      </c>
      <c r="R170" s="30" t="str">
        <f t="shared" si="50"/>
        <v/>
      </c>
      <c r="S170" s="30" t="str">
        <f>IF(A170=0,"",(((25.4/1000)*'Metric Data'!$AC$5*'Metric Data'!$AC$7)-E170)*($E$6/100))</f>
        <v/>
      </c>
      <c r="T170" s="30" t="str">
        <f t="shared" si="51"/>
        <v/>
      </c>
      <c r="U170" s="30" t="str">
        <f t="shared" si="52"/>
        <v/>
      </c>
      <c r="V170" s="30" t="str">
        <f t="shared" si="53"/>
        <v/>
      </c>
      <c r="W170" s="30" t="str">
        <f t="shared" si="54"/>
        <v/>
      </c>
    </row>
    <row r="171" spans="1:23" x14ac:dyDescent="0.2">
      <c r="A171" s="34">
        <f t="shared" si="41"/>
        <v>0</v>
      </c>
      <c r="B171" s="34">
        <v>158</v>
      </c>
      <c r="C171" s="34">
        <f t="shared" si="42"/>
        <v>0</v>
      </c>
      <c r="D171" s="30" t="str">
        <f>IF(A171=0,"",IF('Metric Data'!AG160&gt;=1, INDEX(Metric_Incremental[], MATCH('Metric Data'!AG160, Metric_Incremental[Height], 1), MATCH('Cumulative Volumes Metric'!$F$4, Metric_Incremental[#Headers], 0)), 0))</f>
        <v/>
      </c>
      <c r="E171" s="80" t="str">
        <f>IF(A171=0,"",IF('Metric Data'!AG160&gt;=1, INDEX(Metric_Incremental[], MATCH('Metric Data'!AG160, Metric_Incremental[Height], 1), MATCH('Cumulative Volumes Metric'!$F$4 &amp; "EC", Metric_Incremental[#Headers], 0)), 0))</f>
        <v/>
      </c>
      <c r="F171" s="30" t="str">
        <f t="shared" si="43"/>
        <v/>
      </c>
      <c r="G171" s="30" t="str">
        <f t="shared" si="44"/>
        <v/>
      </c>
      <c r="H171" s="30" t="str">
        <f>IF(A171=0,"",IF('Cumulative Volumes Metric'!$AR$17=FALSE,J171,I171))</f>
        <v/>
      </c>
      <c r="I171" s="30" t="str">
        <f t="shared" si="45"/>
        <v/>
      </c>
      <c r="J171" s="30" t="str">
        <f t="shared" si="46"/>
        <v/>
      </c>
      <c r="K171" s="30" t="str">
        <f>IF(A171=0,"",IF('Cumulative Volumes Metric'!$AR$17=FALSE,M171,L171))</f>
        <v/>
      </c>
      <c r="L171" s="30" t="str">
        <f t="shared" si="47"/>
        <v/>
      </c>
      <c r="M171" s="30" t="str">
        <f t="shared" si="48"/>
        <v/>
      </c>
      <c r="N171" s="30" t="str">
        <f>IF(($E$8/25.4)+45+($E$9/25.4)&gt;989,"FALSE",IF(A171="","",IF('Cumulative Volumes Metric'!$AR$17=FALSE,P171,O171)))</f>
        <v/>
      </c>
      <c r="O171" s="30" t="str">
        <f t="shared" si="49"/>
        <v/>
      </c>
      <c r="P171" s="30" t="str">
        <f>IF(A171=0,"",IF('Cumulative Volumes Metric'!$AR$17=FALSE,(U171*$E$4)+(V171*$E$5),O171))</f>
        <v/>
      </c>
      <c r="Q171" s="30" t="str">
        <f>IF(A171=0,"",(((25.4/1000)*'Metric Data'!$AC$4*'Metric Data'!$AC$5)-D171)*($E$6/100))</f>
        <v/>
      </c>
      <c r="R171" s="30" t="str">
        <f t="shared" si="50"/>
        <v/>
      </c>
      <c r="S171" s="30" t="str">
        <f>IF(A171=0,"",(((25.4/1000)*'Metric Data'!$AC$5*'Metric Data'!$AC$7)-E171)*($E$6/100))</f>
        <v/>
      </c>
      <c r="T171" s="30" t="str">
        <f t="shared" si="51"/>
        <v/>
      </c>
      <c r="U171" s="30" t="str">
        <f t="shared" si="52"/>
        <v/>
      </c>
      <c r="V171" s="30" t="str">
        <f t="shared" si="53"/>
        <v/>
      </c>
      <c r="W171" s="30" t="str">
        <f t="shared" si="54"/>
        <v/>
      </c>
    </row>
    <row r="172" spans="1:23" x14ac:dyDescent="0.2">
      <c r="A172" s="34">
        <f t="shared" si="41"/>
        <v>0</v>
      </c>
      <c r="B172" s="34">
        <v>159</v>
      </c>
      <c r="C172" s="34">
        <f t="shared" si="42"/>
        <v>0</v>
      </c>
      <c r="D172" s="30" t="str">
        <f>IF(A172=0,"",IF('Metric Data'!AG161&gt;=1, INDEX(Metric_Incremental[], MATCH('Metric Data'!AG161, Metric_Incremental[Height], 1), MATCH('Cumulative Volumes Metric'!$F$4, Metric_Incremental[#Headers], 0)), 0))</f>
        <v/>
      </c>
      <c r="E172" s="80" t="str">
        <f>IF(A172=0,"",IF('Metric Data'!AG161&gt;=1, INDEX(Metric_Incremental[], MATCH('Metric Data'!AG161, Metric_Incremental[Height], 1), MATCH('Cumulative Volumes Metric'!$F$4 &amp; "EC", Metric_Incremental[#Headers], 0)), 0))</f>
        <v/>
      </c>
      <c r="F172" s="30" t="str">
        <f t="shared" si="43"/>
        <v/>
      </c>
      <c r="G172" s="30" t="str">
        <f t="shared" si="44"/>
        <v/>
      </c>
      <c r="H172" s="30" t="str">
        <f>IF(A172=0,"",IF('Cumulative Volumes Metric'!$AR$17=FALSE,J172,I172))</f>
        <v/>
      </c>
      <c r="I172" s="30" t="str">
        <f t="shared" si="45"/>
        <v/>
      </c>
      <c r="J172" s="30" t="str">
        <f t="shared" si="46"/>
        <v/>
      </c>
      <c r="K172" s="30" t="str">
        <f>IF(A172=0,"",IF('Cumulative Volumes Metric'!$AR$17=FALSE,M172,L172))</f>
        <v/>
      </c>
      <c r="L172" s="30" t="str">
        <f t="shared" si="47"/>
        <v/>
      </c>
      <c r="M172" s="30" t="str">
        <f t="shared" si="48"/>
        <v/>
      </c>
      <c r="N172" s="30" t="str">
        <f>IF(($E$8/25.4)+45+($E$9/25.4)&gt;989,"FALSE",IF(A172="","",IF('Cumulative Volumes Metric'!$AR$17=FALSE,P172,O172)))</f>
        <v/>
      </c>
      <c r="O172" s="30" t="str">
        <f t="shared" si="49"/>
        <v/>
      </c>
      <c r="P172" s="30" t="str">
        <f>IF(A172=0,"",IF('Cumulative Volumes Metric'!$AR$17=FALSE,(U172*$E$4)+(V172*$E$5),O172))</f>
        <v/>
      </c>
      <c r="Q172" s="30" t="str">
        <f>IF(A172=0,"",(((25.4/1000)*'Metric Data'!$AC$4*'Metric Data'!$AC$5)-D172)*($E$6/100))</f>
        <v/>
      </c>
      <c r="R172" s="30" t="str">
        <f t="shared" si="50"/>
        <v/>
      </c>
      <c r="S172" s="30" t="str">
        <f>IF(A172=0,"",(((25.4/1000)*'Metric Data'!$AC$5*'Metric Data'!$AC$7)-E172)*($E$6/100))</f>
        <v/>
      </c>
      <c r="T172" s="30" t="str">
        <f t="shared" si="51"/>
        <v/>
      </c>
      <c r="U172" s="30" t="str">
        <f t="shared" si="52"/>
        <v/>
      </c>
      <c r="V172" s="30" t="str">
        <f t="shared" si="53"/>
        <v/>
      </c>
      <c r="W172" s="30" t="str">
        <f t="shared" si="54"/>
        <v/>
      </c>
    </row>
    <row r="173" spans="1:23" x14ac:dyDescent="0.2">
      <c r="A173" s="34">
        <f t="shared" si="41"/>
        <v>0</v>
      </c>
      <c r="B173" s="34">
        <v>160</v>
      </c>
      <c r="C173" s="34">
        <f t="shared" si="42"/>
        <v>0</v>
      </c>
      <c r="D173" s="30" t="str">
        <f>IF(A173=0,"",IF('Metric Data'!AG162&gt;=1, INDEX(Metric_Incremental[], MATCH('Metric Data'!AG162, Metric_Incremental[Height], 1), MATCH('Cumulative Volumes Metric'!$F$4, Metric_Incremental[#Headers], 0)), 0))</f>
        <v/>
      </c>
      <c r="E173" s="80" t="str">
        <f>IF(A173=0,"",IF('Metric Data'!AG162&gt;=1, INDEX(Metric_Incremental[], MATCH('Metric Data'!AG162, Metric_Incremental[Height], 1), MATCH('Cumulative Volumes Metric'!$F$4 &amp; "EC", Metric_Incremental[#Headers], 0)), 0))</f>
        <v/>
      </c>
      <c r="F173" s="30" t="str">
        <f t="shared" si="43"/>
        <v/>
      </c>
      <c r="G173" s="30" t="str">
        <f t="shared" si="44"/>
        <v/>
      </c>
      <c r="H173" s="30" t="str">
        <f>IF(A173=0,"",IF('Cumulative Volumes Metric'!$AR$17=FALSE,J173,I173))</f>
        <v/>
      </c>
      <c r="I173" s="30" t="str">
        <f t="shared" si="45"/>
        <v/>
      </c>
      <c r="J173" s="30" t="str">
        <f t="shared" si="46"/>
        <v/>
      </c>
      <c r="K173" s="30" t="str">
        <f>IF(A173=0,"",IF('Cumulative Volumes Metric'!$AR$17=FALSE,M173,L173))</f>
        <v/>
      </c>
      <c r="L173" s="30" t="str">
        <f t="shared" si="47"/>
        <v/>
      </c>
      <c r="M173" s="30" t="str">
        <f t="shared" si="48"/>
        <v/>
      </c>
      <c r="N173" s="30" t="str">
        <f>IF(($E$8/25.4)+45+($E$9/25.4)&gt;989,"FALSE",IF(A173="","",IF('Cumulative Volumes Metric'!$AR$17=FALSE,P173,O173)))</f>
        <v/>
      </c>
      <c r="O173" s="30" t="str">
        <f t="shared" si="49"/>
        <v/>
      </c>
      <c r="P173" s="30" t="str">
        <f>IF(A173=0,"",IF('Cumulative Volumes Metric'!$AR$17=FALSE,(U173*$E$4)+(V173*$E$5),O173))</f>
        <v/>
      </c>
      <c r="Q173" s="30" t="str">
        <f>IF(A173=0,"",(((25.4/1000)*'Metric Data'!$AC$4*'Metric Data'!$AC$5)-D173)*($E$6/100))</f>
        <v/>
      </c>
      <c r="R173" s="30" t="str">
        <f t="shared" si="50"/>
        <v/>
      </c>
      <c r="S173" s="30" t="str">
        <f>IF(A173=0,"",(((25.4/1000)*'Metric Data'!$AC$5*'Metric Data'!$AC$7)-E173)*($E$6/100))</f>
        <v/>
      </c>
      <c r="T173" s="30" t="str">
        <f t="shared" si="51"/>
        <v/>
      </c>
      <c r="U173" s="30" t="str">
        <f t="shared" si="52"/>
        <v/>
      </c>
      <c r="V173" s="30" t="str">
        <f t="shared" si="53"/>
        <v/>
      </c>
      <c r="W173" s="30" t="str">
        <f t="shared" si="54"/>
        <v/>
      </c>
    </row>
    <row r="174" spans="1:23" x14ac:dyDescent="0.2">
      <c r="A174" s="34">
        <f t="shared" si="41"/>
        <v>0</v>
      </c>
      <c r="B174" s="34">
        <v>161</v>
      </c>
      <c r="C174" s="34">
        <f t="shared" si="42"/>
        <v>0</v>
      </c>
      <c r="D174" s="30" t="str">
        <f>IF(A174=0,"",IF('Metric Data'!AG163&gt;=1, INDEX(Metric_Incremental[], MATCH('Metric Data'!AG163, Metric_Incremental[Height], 1), MATCH('Cumulative Volumes Metric'!$F$4, Metric_Incremental[#Headers], 0)), 0))</f>
        <v/>
      </c>
      <c r="E174" s="80" t="str">
        <f>IF(A174=0,"",IF('Metric Data'!AG163&gt;=1, INDEX(Metric_Incremental[], MATCH('Metric Data'!AG163, Metric_Incremental[Height], 1), MATCH('Cumulative Volumes Metric'!$F$4 &amp; "EC", Metric_Incremental[#Headers], 0)), 0))</f>
        <v/>
      </c>
      <c r="F174" s="30" t="str">
        <f t="shared" si="43"/>
        <v/>
      </c>
      <c r="G174" s="30" t="str">
        <f t="shared" si="44"/>
        <v/>
      </c>
      <c r="H174" s="30" t="str">
        <f>IF(A174=0,"",IF('Cumulative Volumes Metric'!$AR$17=FALSE,J174,I174))</f>
        <v/>
      </c>
      <c r="I174" s="30" t="str">
        <f t="shared" si="45"/>
        <v/>
      </c>
      <c r="J174" s="30" t="str">
        <f t="shared" si="46"/>
        <v/>
      </c>
      <c r="K174" s="30" t="str">
        <f>IF(A174=0,"",IF('Cumulative Volumes Metric'!$AR$17=FALSE,M174,L174))</f>
        <v/>
      </c>
      <c r="L174" s="30" t="str">
        <f t="shared" si="47"/>
        <v/>
      </c>
      <c r="M174" s="30" t="str">
        <f t="shared" si="48"/>
        <v/>
      </c>
      <c r="N174" s="30" t="str">
        <f>IF(($E$8/25.4)+45+($E$9/25.4)&gt;989,"FALSE",IF(A174="","",IF('Cumulative Volumes Metric'!$AR$17=FALSE,P174,O174)))</f>
        <v/>
      </c>
      <c r="O174" s="30" t="str">
        <f t="shared" si="49"/>
        <v/>
      </c>
      <c r="P174" s="30" t="str">
        <f>IF(A174=0,"",IF('Cumulative Volumes Metric'!$AR$17=FALSE,(U174*$E$4)+(V174*$E$5),O174))</f>
        <v/>
      </c>
      <c r="Q174" s="30" t="str">
        <f>IF(A174=0,"",(((25.4/1000)*'Metric Data'!$AC$4*'Metric Data'!$AC$5)-D174)*($E$6/100))</f>
        <v/>
      </c>
      <c r="R174" s="30" t="str">
        <f t="shared" si="50"/>
        <v/>
      </c>
      <c r="S174" s="30" t="str">
        <f>IF(A174=0,"",(((25.4/1000)*'Metric Data'!$AC$5*'Metric Data'!$AC$7)-E174)*($E$6/100))</f>
        <v/>
      </c>
      <c r="T174" s="30" t="str">
        <f t="shared" si="51"/>
        <v/>
      </c>
      <c r="U174" s="30" t="str">
        <f t="shared" si="52"/>
        <v/>
      </c>
      <c r="V174" s="30" t="str">
        <f t="shared" si="53"/>
        <v/>
      </c>
      <c r="W174" s="30" t="str">
        <f t="shared" si="54"/>
        <v/>
      </c>
    </row>
    <row r="175" spans="1:23" x14ac:dyDescent="0.2">
      <c r="A175" s="34">
        <f t="shared" si="41"/>
        <v>0</v>
      </c>
      <c r="B175" s="34">
        <v>162</v>
      </c>
      <c r="C175" s="34">
        <f t="shared" si="42"/>
        <v>0</v>
      </c>
      <c r="D175" s="30" t="str">
        <f>IF(A175=0,"",IF('Metric Data'!AG164&gt;=1, INDEX(Metric_Incremental[], MATCH('Metric Data'!AG164, Metric_Incremental[Height], 1), MATCH('Cumulative Volumes Metric'!$F$4, Metric_Incremental[#Headers], 0)), 0))</f>
        <v/>
      </c>
      <c r="E175" s="80" t="str">
        <f>IF(A175=0,"",IF('Metric Data'!AG164&gt;=1, INDEX(Metric_Incremental[], MATCH('Metric Data'!AG164, Metric_Incremental[Height], 1), MATCH('Cumulative Volumes Metric'!$F$4 &amp; "EC", Metric_Incremental[#Headers], 0)), 0))</f>
        <v/>
      </c>
      <c r="F175" s="30" t="str">
        <f t="shared" si="43"/>
        <v/>
      </c>
      <c r="G175" s="30" t="str">
        <f t="shared" si="44"/>
        <v/>
      </c>
      <c r="H175" s="30" t="str">
        <f>IF(A175=0,"",IF('Cumulative Volumes Metric'!$AR$17=FALSE,J175,I175))</f>
        <v/>
      </c>
      <c r="I175" s="30" t="str">
        <f t="shared" si="45"/>
        <v/>
      </c>
      <c r="J175" s="30" t="str">
        <f t="shared" si="46"/>
        <v/>
      </c>
      <c r="K175" s="30" t="str">
        <f>IF(A175=0,"",IF('Cumulative Volumes Metric'!$AR$17=FALSE,M175,L175))</f>
        <v/>
      </c>
      <c r="L175" s="30" t="str">
        <f t="shared" si="47"/>
        <v/>
      </c>
      <c r="M175" s="30" t="str">
        <f t="shared" si="48"/>
        <v/>
      </c>
      <c r="N175" s="30" t="str">
        <f>IF(($E$8/25.4)+45+($E$9/25.4)&gt;989,"FALSE",IF(A175="","",IF('Cumulative Volumes Metric'!$AR$17=FALSE,P175,O175)))</f>
        <v/>
      </c>
      <c r="O175" s="30" t="str">
        <f t="shared" si="49"/>
        <v/>
      </c>
      <c r="P175" s="30" t="str">
        <f>IF(A175=0,"",IF('Cumulative Volumes Metric'!$AR$17=FALSE,(U175*$E$4)+(V175*$E$5),O175))</f>
        <v/>
      </c>
      <c r="Q175" s="30" t="str">
        <f>IF(A175=0,"",(((25.4/1000)*'Metric Data'!$AC$4*'Metric Data'!$AC$5)-D175)*($E$6/100))</f>
        <v/>
      </c>
      <c r="R175" s="30" t="str">
        <f t="shared" si="50"/>
        <v/>
      </c>
      <c r="S175" s="30" t="str">
        <f>IF(A175=0,"",(((25.4/1000)*'Metric Data'!$AC$5*'Metric Data'!$AC$7)-E175)*($E$6/100))</f>
        <v/>
      </c>
      <c r="T175" s="30" t="str">
        <f t="shared" si="51"/>
        <v/>
      </c>
      <c r="U175" s="30" t="str">
        <f t="shared" si="52"/>
        <v/>
      </c>
      <c r="V175" s="30" t="str">
        <f t="shared" si="53"/>
        <v/>
      </c>
      <c r="W175" s="30" t="str">
        <f t="shared" si="54"/>
        <v/>
      </c>
    </row>
    <row r="176" spans="1:23" x14ac:dyDescent="0.2">
      <c r="A176" s="34">
        <f t="shared" si="41"/>
        <v>0</v>
      </c>
      <c r="B176" s="34">
        <v>163</v>
      </c>
      <c r="C176" s="34">
        <f t="shared" si="42"/>
        <v>0</v>
      </c>
      <c r="D176" s="30" t="str">
        <f>IF(A176=0,"",IF('Metric Data'!AG165&gt;=1, INDEX(Metric_Incremental[], MATCH('Metric Data'!AG165, Metric_Incremental[Height], 1), MATCH('Cumulative Volumes Metric'!$F$4, Metric_Incremental[#Headers], 0)), 0))</f>
        <v/>
      </c>
      <c r="E176" s="80" t="str">
        <f>IF(A176=0,"",IF('Metric Data'!AG165&gt;=1, INDEX(Metric_Incremental[], MATCH('Metric Data'!AG165, Metric_Incremental[Height], 1), MATCH('Cumulative Volumes Metric'!$F$4 &amp; "EC", Metric_Incremental[#Headers], 0)), 0))</f>
        <v/>
      </c>
      <c r="F176" s="30" t="str">
        <f t="shared" si="43"/>
        <v/>
      </c>
      <c r="G176" s="30" t="str">
        <f t="shared" si="44"/>
        <v/>
      </c>
      <c r="H176" s="30" t="str">
        <f>IF(A176=0,"",IF('Cumulative Volumes Metric'!$AR$17=FALSE,J176,I176))</f>
        <v/>
      </c>
      <c r="I176" s="30" t="str">
        <f t="shared" si="45"/>
        <v/>
      </c>
      <c r="J176" s="30" t="str">
        <f t="shared" si="46"/>
        <v/>
      </c>
      <c r="K176" s="30" t="str">
        <f>IF(A176=0,"",IF('Cumulative Volumes Metric'!$AR$17=FALSE,M176,L176))</f>
        <v/>
      </c>
      <c r="L176" s="30" t="str">
        <f t="shared" si="47"/>
        <v/>
      </c>
      <c r="M176" s="30" t="str">
        <f t="shared" si="48"/>
        <v/>
      </c>
      <c r="N176" s="30" t="str">
        <f>IF(($E$8/25.4)+45+($E$9/25.4)&gt;989,"FALSE",IF(A176="","",IF('Cumulative Volumes Metric'!$AR$17=FALSE,P176,O176)))</f>
        <v/>
      </c>
      <c r="O176" s="30" t="str">
        <f t="shared" si="49"/>
        <v/>
      </c>
      <c r="P176" s="30" t="str">
        <f>IF(A176=0,"",IF('Cumulative Volumes Metric'!$AR$17=FALSE,(U176*$E$4)+(V176*$E$5),O176))</f>
        <v/>
      </c>
      <c r="Q176" s="30" t="str">
        <f>IF(A176=0,"",(((25.4/1000)*'Metric Data'!$AC$4*'Metric Data'!$AC$5)-D176)*($E$6/100))</f>
        <v/>
      </c>
      <c r="R176" s="30" t="str">
        <f t="shared" si="50"/>
        <v/>
      </c>
      <c r="S176" s="30" t="str">
        <f>IF(A176=0,"",(((25.4/1000)*'Metric Data'!$AC$5*'Metric Data'!$AC$7)-E176)*($E$6/100))</f>
        <v/>
      </c>
      <c r="T176" s="30" t="str">
        <f t="shared" si="51"/>
        <v/>
      </c>
      <c r="U176" s="30" t="str">
        <f t="shared" si="52"/>
        <v/>
      </c>
      <c r="V176" s="30" t="str">
        <f t="shared" si="53"/>
        <v/>
      </c>
      <c r="W176" s="30" t="str">
        <f t="shared" si="54"/>
        <v/>
      </c>
    </row>
    <row r="177" spans="1:23" x14ac:dyDescent="0.2">
      <c r="A177" s="34">
        <f t="shared" si="41"/>
        <v>0</v>
      </c>
      <c r="B177" s="34">
        <v>164</v>
      </c>
      <c r="C177" s="34">
        <f t="shared" si="42"/>
        <v>0</v>
      </c>
      <c r="D177" s="30" t="str">
        <f>IF(A177=0,"",IF('Metric Data'!AG166&gt;=1, INDEX(Metric_Incremental[], MATCH('Metric Data'!AG166, Metric_Incremental[Height], 1), MATCH('Cumulative Volumes Metric'!$F$4, Metric_Incremental[#Headers], 0)), 0))</f>
        <v/>
      </c>
      <c r="E177" s="80" t="str">
        <f>IF(A177=0,"",IF('Metric Data'!AG166&gt;=1, INDEX(Metric_Incremental[], MATCH('Metric Data'!AG166, Metric_Incremental[Height], 1), MATCH('Cumulative Volumes Metric'!$F$4 &amp; "EC", Metric_Incremental[#Headers], 0)), 0))</f>
        <v/>
      </c>
      <c r="F177" s="30" t="str">
        <f t="shared" si="43"/>
        <v/>
      </c>
      <c r="G177" s="30" t="str">
        <f t="shared" si="44"/>
        <v/>
      </c>
      <c r="H177" s="30" t="str">
        <f>IF(A177=0,"",IF('Cumulative Volumes Metric'!$AR$17=FALSE,J177,I177))</f>
        <v/>
      </c>
      <c r="I177" s="30" t="str">
        <f t="shared" si="45"/>
        <v/>
      </c>
      <c r="J177" s="30" t="str">
        <f t="shared" si="46"/>
        <v/>
      </c>
      <c r="K177" s="30" t="str">
        <f>IF(A177=0,"",IF('Cumulative Volumes Metric'!$AR$17=FALSE,M177,L177))</f>
        <v/>
      </c>
      <c r="L177" s="30" t="str">
        <f t="shared" si="47"/>
        <v/>
      </c>
      <c r="M177" s="30" t="str">
        <f t="shared" si="48"/>
        <v/>
      </c>
      <c r="N177" s="30" t="str">
        <f>IF(($E$8/25.4)+45+($E$9/25.4)&gt;989,"FALSE",IF(A177="","",IF('Cumulative Volumes Metric'!$AR$17=FALSE,P177,O177)))</f>
        <v/>
      </c>
      <c r="O177" s="30" t="str">
        <f t="shared" si="49"/>
        <v/>
      </c>
      <c r="P177" s="30" t="str">
        <f>IF(A177=0,"",IF('Cumulative Volumes Metric'!$AR$17=FALSE,(U177*$E$4)+(V177*$E$5),O177))</f>
        <v/>
      </c>
      <c r="Q177" s="30" t="str">
        <f>IF(A177=0,"",(((25.4/1000)*'Metric Data'!$AC$4*'Metric Data'!$AC$5)-D177)*($E$6/100))</f>
        <v/>
      </c>
      <c r="R177" s="30" t="str">
        <f t="shared" si="50"/>
        <v/>
      </c>
      <c r="S177" s="30" t="str">
        <f>IF(A177=0,"",(((25.4/1000)*'Metric Data'!$AC$5*'Metric Data'!$AC$7)-E177)*($E$6/100))</f>
        <v/>
      </c>
      <c r="T177" s="30" t="str">
        <f t="shared" si="51"/>
        <v/>
      </c>
      <c r="U177" s="30" t="str">
        <f t="shared" si="52"/>
        <v/>
      </c>
      <c r="V177" s="30" t="str">
        <f t="shared" si="53"/>
        <v/>
      </c>
      <c r="W177" s="30" t="str">
        <f t="shared" si="54"/>
        <v/>
      </c>
    </row>
    <row r="178" spans="1:23" x14ac:dyDescent="0.2">
      <c r="A178" s="34">
        <f t="shared" si="41"/>
        <v>0</v>
      </c>
      <c r="B178" s="34">
        <v>165</v>
      </c>
      <c r="C178" s="34">
        <f t="shared" si="42"/>
        <v>0</v>
      </c>
      <c r="D178" s="30" t="str">
        <f>IF(A178=0,"",IF('Metric Data'!AG167&gt;=1, INDEX(Metric_Incremental[], MATCH('Metric Data'!AG167, Metric_Incremental[Height], 1), MATCH('Cumulative Volumes Metric'!$F$4, Metric_Incremental[#Headers], 0)), 0))</f>
        <v/>
      </c>
      <c r="E178" s="80" t="str">
        <f>IF(A178=0,"",IF('Metric Data'!AG167&gt;=1, INDEX(Metric_Incremental[], MATCH('Metric Data'!AG167, Metric_Incremental[Height], 1), MATCH('Cumulative Volumes Metric'!$F$4 &amp; "EC", Metric_Incremental[#Headers], 0)), 0))</f>
        <v/>
      </c>
      <c r="F178" s="30" t="str">
        <f t="shared" si="43"/>
        <v/>
      </c>
      <c r="G178" s="30" t="str">
        <f t="shared" si="44"/>
        <v/>
      </c>
      <c r="H178" s="30" t="str">
        <f>IF(A178=0,"",IF('Cumulative Volumes Metric'!$AR$17=FALSE,J178,I178))</f>
        <v/>
      </c>
      <c r="I178" s="30" t="str">
        <f t="shared" si="45"/>
        <v/>
      </c>
      <c r="J178" s="30" t="str">
        <f t="shared" si="46"/>
        <v/>
      </c>
      <c r="K178" s="30" t="str">
        <f>IF(A178=0,"",IF('Cumulative Volumes Metric'!$AR$17=FALSE,M178,L178))</f>
        <v/>
      </c>
      <c r="L178" s="30" t="str">
        <f t="shared" si="47"/>
        <v/>
      </c>
      <c r="M178" s="30" t="str">
        <f t="shared" si="48"/>
        <v/>
      </c>
      <c r="N178" s="30" t="str">
        <f>IF(($E$8/25.4)+45+($E$9/25.4)&gt;989,"FALSE",IF(A178="","",IF('Cumulative Volumes Metric'!$AR$17=FALSE,P178,O178)))</f>
        <v/>
      </c>
      <c r="O178" s="30" t="str">
        <f t="shared" si="49"/>
        <v/>
      </c>
      <c r="P178" s="30" t="str">
        <f>IF(A178=0,"",IF('Cumulative Volumes Metric'!$AR$17=FALSE,(U178*$E$4)+(V178*$E$5),O178))</f>
        <v/>
      </c>
      <c r="Q178" s="30" t="str">
        <f>IF(A178=0,"",(((25.4/1000)*'Metric Data'!$AC$4*'Metric Data'!$AC$5)-D178)*($E$6/100))</f>
        <v/>
      </c>
      <c r="R178" s="30" t="str">
        <f t="shared" si="50"/>
        <v/>
      </c>
      <c r="S178" s="30" t="str">
        <f>IF(A178=0,"",(((25.4/1000)*'Metric Data'!$AC$5*'Metric Data'!$AC$7)-E178)*($E$6/100))</f>
        <v/>
      </c>
      <c r="T178" s="30" t="str">
        <f t="shared" si="51"/>
        <v/>
      </c>
      <c r="U178" s="30" t="str">
        <f t="shared" si="52"/>
        <v/>
      </c>
      <c r="V178" s="30" t="str">
        <f t="shared" si="53"/>
        <v/>
      </c>
      <c r="W178" s="30" t="str">
        <f t="shared" si="54"/>
        <v/>
      </c>
    </row>
    <row r="179" spans="1:23" x14ac:dyDescent="0.2">
      <c r="A179" s="34">
        <f t="shared" si="41"/>
        <v>0</v>
      </c>
      <c r="B179" s="34">
        <v>166</v>
      </c>
      <c r="C179" s="34">
        <f t="shared" si="42"/>
        <v>0</v>
      </c>
      <c r="D179" s="30" t="str">
        <f>IF(A179=0,"",IF('Metric Data'!AG168&gt;=1, INDEX(Metric_Incremental[], MATCH('Metric Data'!AG168, Metric_Incremental[Height], 1), MATCH('Cumulative Volumes Metric'!$F$4, Metric_Incremental[#Headers], 0)), 0))</f>
        <v/>
      </c>
      <c r="E179" s="80" t="str">
        <f>IF(A179=0,"",IF('Metric Data'!AG168&gt;=1, INDEX(Metric_Incremental[], MATCH('Metric Data'!AG168, Metric_Incremental[Height], 1), MATCH('Cumulative Volumes Metric'!$F$4 &amp; "EC", Metric_Incremental[#Headers], 0)), 0))</f>
        <v/>
      </c>
      <c r="F179" s="30" t="str">
        <f t="shared" si="43"/>
        <v/>
      </c>
      <c r="G179" s="30" t="str">
        <f t="shared" si="44"/>
        <v/>
      </c>
      <c r="H179" s="30" t="str">
        <f>IF(A179=0,"",IF('Cumulative Volumes Metric'!$AR$17=FALSE,J179,I179))</f>
        <v/>
      </c>
      <c r="I179" s="30" t="str">
        <f t="shared" si="45"/>
        <v/>
      </c>
      <c r="J179" s="30" t="str">
        <f t="shared" si="46"/>
        <v/>
      </c>
      <c r="K179" s="30" t="str">
        <f>IF(A179=0,"",IF('Cumulative Volumes Metric'!$AR$17=FALSE,M179,L179))</f>
        <v/>
      </c>
      <c r="L179" s="30" t="str">
        <f t="shared" si="47"/>
        <v/>
      </c>
      <c r="M179" s="30" t="str">
        <f t="shared" si="48"/>
        <v/>
      </c>
      <c r="N179" s="30" t="str">
        <f>IF(($E$8/25.4)+45+($E$9/25.4)&gt;989,"FALSE",IF(A179="","",IF('Cumulative Volumes Metric'!$AR$17=FALSE,P179,O179)))</f>
        <v/>
      </c>
      <c r="O179" s="30" t="str">
        <f t="shared" si="49"/>
        <v/>
      </c>
      <c r="P179" s="30" t="str">
        <f>IF(A179=0,"",IF('Cumulative Volumes Metric'!$AR$17=FALSE,(U179*$E$4)+(V179*$E$5),O179))</f>
        <v/>
      </c>
      <c r="Q179" s="30" t="str">
        <f>IF(A179=0,"",(((25.4/1000)*'Metric Data'!$AC$4*'Metric Data'!$AC$5)-D179)*($E$6/100))</f>
        <v/>
      </c>
      <c r="R179" s="30" t="str">
        <f t="shared" si="50"/>
        <v/>
      </c>
      <c r="S179" s="30" t="str">
        <f>IF(A179=0,"",(((25.4/1000)*'Metric Data'!$AC$5*'Metric Data'!$AC$7)-E179)*($E$6/100))</f>
        <v/>
      </c>
      <c r="T179" s="30" t="str">
        <f t="shared" si="51"/>
        <v/>
      </c>
      <c r="U179" s="30" t="str">
        <f t="shared" si="52"/>
        <v/>
      </c>
      <c r="V179" s="30" t="str">
        <f t="shared" si="53"/>
        <v/>
      </c>
      <c r="W179" s="30" t="str">
        <f t="shared" si="54"/>
        <v/>
      </c>
    </row>
    <row r="180" spans="1:23" x14ac:dyDescent="0.2">
      <c r="A180" s="34">
        <f t="shared" si="41"/>
        <v>0</v>
      </c>
      <c r="B180" s="34">
        <v>167</v>
      </c>
      <c r="C180" s="34">
        <f t="shared" si="42"/>
        <v>0</v>
      </c>
      <c r="D180" s="30" t="str">
        <f>IF(A180=0,"",IF('Metric Data'!AG169&gt;=1, INDEX(Metric_Incremental[], MATCH('Metric Data'!AG169, Metric_Incremental[Height], 1), MATCH('Cumulative Volumes Metric'!$F$4, Metric_Incremental[#Headers], 0)), 0))</f>
        <v/>
      </c>
      <c r="E180" s="80" t="str">
        <f>IF(A180=0,"",IF('Metric Data'!AG169&gt;=1, INDEX(Metric_Incremental[], MATCH('Metric Data'!AG169, Metric_Incremental[Height], 1), MATCH('Cumulative Volumes Metric'!$F$4 &amp; "EC", Metric_Incremental[#Headers], 0)), 0))</f>
        <v/>
      </c>
      <c r="F180" s="30" t="str">
        <f t="shared" si="43"/>
        <v/>
      </c>
      <c r="G180" s="30" t="str">
        <f t="shared" si="44"/>
        <v/>
      </c>
      <c r="H180" s="30" t="str">
        <f>IF(A180=0,"",IF('Cumulative Volumes Metric'!$AR$17=FALSE,J180,I180))</f>
        <v/>
      </c>
      <c r="I180" s="30" t="str">
        <f t="shared" si="45"/>
        <v/>
      </c>
      <c r="J180" s="30" t="str">
        <f t="shared" si="46"/>
        <v/>
      </c>
      <c r="K180" s="30" t="str">
        <f>IF(A180=0,"",IF('Cumulative Volumes Metric'!$AR$17=FALSE,M180,L180))</f>
        <v/>
      </c>
      <c r="L180" s="30" t="str">
        <f t="shared" si="47"/>
        <v/>
      </c>
      <c r="M180" s="30" t="str">
        <f t="shared" si="48"/>
        <v/>
      </c>
      <c r="N180" s="30" t="str">
        <f>IF(($E$8/25.4)+45+($E$9/25.4)&gt;989,"FALSE",IF(A180="","",IF('Cumulative Volumes Metric'!$AR$17=FALSE,P180,O180)))</f>
        <v/>
      </c>
      <c r="O180" s="30" t="str">
        <f t="shared" si="49"/>
        <v/>
      </c>
      <c r="P180" s="30" t="str">
        <f>IF(A180=0,"",IF('Cumulative Volumes Metric'!$AR$17=FALSE,(U180*$E$4)+(V180*$E$5),O180))</f>
        <v/>
      </c>
      <c r="Q180" s="30" t="str">
        <f>IF(A180=0,"",(((25.4/1000)*'Metric Data'!$AC$4*'Metric Data'!$AC$5)-D180)*($E$6/100))</f>
        <v/>
      </c>
      <c r="R180" s="30" t="str">
        <f t="shared" si="50"/>
        <v/>
      </c>
      <c r="S180" s="30" t="str">
        <f>IF(A180=0,"",(((25.4/1000)*'Metric Data'!$AC$5*'Metric Data'!$AC$7)-E180)*($E$6/100))</f>
        <v/>
      </c>
      <c r="T180" s="30" t="str">
        <f t="shared" si="51"/>
        <v/>
      </c>
      <c r="U180" s="30" t="str">
        <f t="shared" si="52"/>
        <v/>
      </c>
      <c r="V180" s="30" t="str">
        <f t="shared" si="53"/>
        <v/>
      </c>
      <c r="W180" s="30" t="str">
        <f t="shared" si="54"/>
        <v/>
      </c>
    </row>
    <row r="181" spans="1:23" x14ac:dyDescent="0.2">
      <c r="A181" s="34">
        <f t="shared" si="41"/>
        <v>0</v>
      </c>
      <c r="B181" s="34">
        <v>168</v>
      </c>
      <c r="C181" s="34">
        <f t="shared" si="42"/>
        <v>0</v>
      </c>
      <c r="D181" s="30" t="str">
        <f>IF(A181=0,"",IF('Metric Data'!AG170&gt;=1, INDEX(Metric_Incremental[], MATCH('Metric Data'!AG170, Metric_Incremental[Height], 1), MATCH('Cumulative Volumes Metric'!$F$4, Metric_Incremental[#Headers], 0)), 0))</f>
        <v/>
      </c>
      <c r="E181" s="80" t="str">
        <f>IF(A181=0,"",IF('Metric Data'!AG170&gt;=1, INDEX(Metric_Incremental[], MATCH('Metric Data'!AG170, Metric_Incremental[Height], 1), MATCH('Cumulative Volumes Metric'!$F$4 &amp; "EC", Metric_Incremental[#Headers], 0)), 0))</f>
        <v/>
      </c>
      <c r="F181" s="30" t="str">
        <f t="shared" si="43"/>
        <v/>
      </c>
      <c r="G181" s="30" t="str">
        <f t="shared" si="44"/>
        <v/>
      </c>
      <c r="H181" s="30" t="str">
        <f>IF(A181=0,"",IF('Cumulative Volumes Metric'!$AR$17=FALSE,J181,I181))</f>
        <v/>
      </c>
      <c r="I181" s="30" t="str">
        <f t="shared" si="45"/>
        <v/>
      </c>
      <c r="J181" s="30" t="str">
        <f t="shared" si="46"/>
        <v/>
      </c>
      <c r="K181" s="30" t="str">
        <f>IF(A181=0,"",IF('Cumulative Volumes Metric'!$AR$17=FALSE,M181,L181))</f>
        <v/>
      </c>
      <c r="L181" s="30" t="str">
        <f t="shared" si="47"/>
        <v/>
      </c>
      <c r="M181" s="30" t="str">
        <f t="shared" si="48"/>
        <v/>
      </c>
      <c r="N181" s="30" t="str">
        <f>IF(($E$8/25.4)+45+($E$9/25.4)&gt;989,"FALSE",IF(A181="","",IF('Cumulative Volumes Metric'!$AR$17=FALSE,P181,O181)))</f>
        <v/>
      </c>
      <c r="O181" s="30" t="str">
        <f t="shared" si="49"/>
        <v/>
      </c>
      <c r="P181" s="30" t="str">
        <f>IF(A181=0,"",IF('Cumulative Volumes Metric'!$AR$17=FALSE,(U181*$E$4)+(V181*$E$5),O181))</f>
        <v/>
      </c>
      <c r="Q181" s="30" t="str">
        <f>IF(A181=0,"",(((25.4/1000)*'Metric Data'!$AC$4*'Metric Data'!$AC$5)-D181)*($E$6/100))</f>
        <v/>
      </c>
      <c r="R181" s="30" t="str">
        <f t="shared" si="50"/>
        <v/>
      </c>
      <c r="S181" s="30" t="str">
        <f>IF(A181=0,"",(((25.4/1000)*'Metric Data'!$AC$5*'Metric Data'!$AC$7)-E181)*($E$6/100))</f>
        <v/>
      </c>
      <c r="T181" s="30" t="str">
        <f t="shared" si="51"/>
        <v/>
      </c>
      <c r="U181" s="30" t="str">
        <f t="shared" si="52"/>
        <v/>
      </c>
      <c r="V181" s="30" t="str">
        <f t="shared" si="53"/>
        <v/>
      </c>
      <c r="W181" s="30" t="str">
        <f t="shared" si="54"/>
        <v/>
      </c>
    </row>
    <row r="182" spans="1:23" x14ac:dyDescent="0.2">
      <c r="A182" s="34">
        <f t="shared" si="41"/>
        <v>0</v>
      </c>
      <c r="B182" s="34">
        <v>169</v>
      </c>
      <c r="C182" s="34">
        <f t="shared" si="42"/>
        <v>0</v>
      </c>
      <c r="D182" s="30" t="str">
        <f>IF(A182=0,"",IF('Metric Data'!AG171&gt;=1, INDEX(Metric_Incremental[], MATCH('Metric Data'!AG171, Metric_Incremental[Height], 1), MATCH('Cumulative Volumes Metric'!$F$4, Metric_Incremental[#Headers], 0)), 0))</f>
        <v/>
      </c>
      <c r="E182" s="80" t="str">
        <f>IF(A182=0,"",IF('Metric Data'!AG171&gt;=1, INDEX(Metric_Incremental[], MATCH('Metric Data'!AG171, Metric_Incremental[Height], 1), MATCH('Cumulative Volumes Metric'!$F$4 &amp; "EC", Metric_Incremental[#Headers], 0)), 0))</f>
        <v/>
      </c>
      <c r="F182" s="30" t="str">
        <f t="shared" si="43"/>
        <v/>
      </c>
      <c r="G182" s="30" t="str">
        <f t="shared" si="44"/>
        <v/>
      </c>
      <c r="H182" s="30" t="str">
        <f>IF(A182=0,"",IF('Cumulative Volumes Metric'!$AR$17=FALSE,J182,I182))</f>
        <v/>
      </c>
      <c r="I182" s="30" t="str">
        <f t="shared" si="45"/>
        <v/>
      </c>
      <c r="J182" s="30" t="str">
        <f t="shared" si="46"/>
        <v/>
      </c>
      <c r="K182" s="30" t="str">
        <f>IF(A182=0,"",IF('Cumulative Volumes Metric'!$AR$17=FALSE,M182,L182))</f>
        <v/>
      </c>
      <c r="L182" s="30" t="str">
        <f t="shared" si="47"/>
        <v/>
      </c>
      <c r="M182" s="30" t="str">
        <f t="shared" si="48"/>
        <v/>
      </c>
      <c r="N182" s="30" t="str">
        <f>IF(($E$8/25.4)+45+($E$9/25.4)&gt;989,"FALSE",IF(A182="","",IF('Cumulative Volumes Metric'!$AR$17=FALSE,P182,O182)))</f>
        <v/>
      </c>
      <c r="O182" s="30" t="str">
        <f t="shared" si="49"/>
        <v/>
      </c>
      <c r="P182" s="30" t="str">
        <f>IF(A182=0,"",IF('Cumulative Volumes Metric'!$AR$17=FALSE,(U182*$E$4)+(V182*$E$5),O182))</f>
        <v/>
      </c>
      <c r="Q182" s="30" t="str">
        <f>IF(A182=0,"",(((25.4/1000)*'Metric Data'!$AC$4*'Metric Data'!$AC$5)-D182)*($E$6/100))</f>
        <v/>
      </c>
      <c r="R182" s="30" t="str">
        <f t="shared" si="50"/>
        <v/>
      </c>
      <c r="S182" s="30" t="str">
        <f>IF(A182=0,"",(((25.4/1000)*'Metric Data'!$AC$5*'Metric Data'!$AC$7)-E182)*($E$6/100))</f>
        <v/>
      </c>
      <c r="T182" s="30" t="str">
        <f t="shared" si="51"/>
        <v/>
      </c>
      <c r="U182" s="30" t="str">
        <f t="shared" si="52"/>
        <v/>
      </c>
      <c r="V182" s="30" t="str">
        <f t="shared" si="53"/>
        <v/>
      </c>
      <c r="W182" s="30" t="str">
        <f t="shared" si="54"/>
        <v/>
      </c>
    </row>
    <row r="183" spans="1:23" x14ac:dyDescent="0.2">
      <c r="A183" s="34">
        <f t="shared" si="41"/>
        <v>0</v>
      </c>
      <c r="B183" s="34">
        <v>170</v>
      </c>
      <c r="C183" s="34">
        <f t="shared" si="42"/>
        <v>0</v>
      </c>
      <c r="D183" s="30" t="str">
        <f>IF(A183=0,"",IF('Metric Data'!AG172&gt;=1, INDEX(Metric_Incremental[], MATCH('Metric Data'!AG172, Metric_Incremental[Height], 1), MATCH('Cumulative Volumes Metric'!$F$4, Metric_Incremental[#Headers], 0)), 0))</f>
        <v/>
      </c>
      <c r="E183" s="80" t="str">
        <f>IF(A183=0,"",IF('Metric Data'!AG172&gt;=1, INDEX(Metric_Incremental[], MATCH('Metric Data'!AG172, Metric_Incremental[Height], 1), MATCH('Cumulative Volumes Metric'!$F$4 &amp; "EC", Metric_Incremental[#Headers], 0)), 0))</f>
        <v/>
      </c>
      <c r="F183" s="30" t="str">
        <f t="shared" si="43"/>
        <v/>
      </c>
      <c r="G183" s="30" t="str">
        <f t="shared" si="44"/>
        <v/>
      </c>
      <c r="H183" s="30" t="str">
        <f>IF(A183=0,"",IF('Cumulative Volumes Metric'!$AR$17=FALSE,J183,I183))</f>
        <v/>
      </c>
      <c r="I183" s="30" t="str">
        <f t="shared" si="45"/>
        <v/>
      </c>
      <c r="J183" s="30" t="str">
        <f t="shared" si="46"/>
        <v/>
      </c>
      <c r="K183" s="30" t="str">
        <f>IF(A183=0,"",IF('Cumulative Volumes Metric'!$AR$17=FALSE,M183,L183))</f>
        <v/>
      </c>
      <c r="L183" s="30" t="str">
        <f t="shared" si="47"/>
        <v/>
      </c>
      <c r="M183" s="30" t="str">
        <f t="shared" si="48"/>
        <v/>
      </c>
      <c r="N183" s="30" t="str">
        <f>IF(($E$8/25.4)+45+($E$9/25.4)&gt;989,"FALSE",IF(A183="","",IF('Cumulative Volumes Metric'!$AR$17=FALSE,P183,O183)))</f>
        <v/>
      </c>
      <c r="O183" s="30" t="str">
        <f t="shared" si="49"/>
        <v/>
      </c>
      <c r="P183" s="30" t="str">
        <f>IF(A183=0,"",IF('Cumulative Volumes Metric'!$AR$17=FALSE,(U183*$E$4)+(V183*$E$5),O183))</f>
        <v/>
      </c>
      <c r="Q183" s="30" t="str">
        <f>IF(A183=0,"",(((25.4/1000)*'Metric Data'!$AC$4*'Metric Data'!$AC$5)-D183)*($E$6/100))</f>
        <v/>
      </c>
      <c r="R183" s="30" t="str">
        <f t="shared" si="50"/>
        <v/>
      </c>
      <c r="S183" s="30" t="str">
        <f>IF(A183=0,"",(((25.4/1000)*'Metric Data'!$AC$5*'Metric Data'!$AC$7)-E183)*($E$6/100))</f>
        <v/>
      </c>
      <c r="T183" s="30" t="str">
        <f t="shared" si="51"/>
        <v/>
      </c>
      <c r="U183" s="30" t="str">
        <f t="shared" si="52"/>
        <v/>
      </c>
      <c r="V183" s="30" t="str">
        <f t="shared" si="53"/>
        <v/>
      </c>
      <c r="W183" s="30" t="str">
        <f t="shared" si="54"/>
        <v/>
      </c>
    </row>
    <row r="184" spans="1:23" x14ac:dyDescent="0.2">
      <c r="A184" s="34">
        <f t="shared" si="41"/>
        <v>0</v>
      </c>
      <c r="B184" s="34">
        <v>171</v>
      </c>
      <c r="C184" s="34">
        <f t="shared" si="42"/>
        <v>0</v>
      </c>
      <c r="D184" s="30" t="str">
        <f>IF(A184=0,"",IF('Metric Data'!AG173&gt;=1, INDEX(Metric_Incremental[], MATCH('Metric Data'!AG173, Metric_Incremental[Height], 1), MATCH('Cumulative Volumes Metric'!$F$4, Metric_Incremental[#Headers], 0)), 0))</f>
        <v/>
      </c>
      <c r="E184" s="80" t="str">
        <f>IF(A184=0,"",IF('Metric Data'!AG173&gt;=1, INDEX(Metric_Incremental[], MATCH('Metric Data'!AG173, Metric_Incremental[Height], 1), MATCH('Cumulative Volumes Metric'!$F$4 &amp; "EC", Metric_Incremental[#Headers], 0)), 0))</f>
        <v/>
      </c>
      <c r="F184" s="30" t="str">
        <f t="shared" si="43"/>
        <v/>
      </c>
      <c r="G184" s="30" t="str">
        <f t="shared" si="44"/>
        <v/>
      </c>
      <c r="H184" s="30" t="str">
        <f>IF(A184=0,"",IF('Cumulative Volumes Metric'!$AR$17=FALSE,J184,I184))</f>
        <v/>
      </c>
      <c r="I184" s="30" t="str">
        <f t="shared" si="45"/>
        <v/>
      </c>
      <c r="J184" s="30" t="str">
        <f t="shared" si="46"/>
        <v/>
      </c>
      <c r="K184" s="30" t="str">
        <f>IF(A184=0,"",IF('Cumulative Volumes Metric'!$AR$17=FALSE,M184,L184))</f>
        <v/>
      </c>
      <c r="L184" s="30" t="str">
        <f t="shared" si="47"/>
        <v/>
      </c>
      <c r="M184" s="30" t="str">
        <f t="shared" si="48"/>
        <v/>
      </c>
      <c r="N184" s="30" t="str">
        <f>IF(($E$8/25.4)+45+($E$9/25.4)&gt;989,"FALSE",IF(A184="","",IF('Cumulative Volumes Metric'!$AR$17=FALSE,P184,O184)))</f>
        <v/>
      </c>
      <c r="O184" s="30" t="str">
        <f t="shared" si="49"/>
        <v/>
      </c>
      <c r="P184" s="30" t="str">
        <f>IF(A184=0,"",IF('Cumulative Volumes Metric'!$AR$17=FALSE,(U184*$E$4)+(V184*$E$5),O184))</f>
        <v/>
      </c>
      <c r="Q184" s="30" t="str">
        <f>IF(A184=0,"",(((25.4/1000)*'Metric Data'!$AC$4*'Metric Data'!$AC$5)-D184)*($E$6/100))</f>
        <v/>
      </c>
      <c r="R184" s="30" t="str">
        <f t="shared" si="50"/>
        <v/>
      </c>
      <c r="S184" s="30" t="str">
        <f>IF(A184=0,"",(((25.4/1000)*'Metric Data'!$AC$5*'Metric Data'!$AC$7)-E184)*($E$6/100))</f>
        <v/>
      </c>
      <c r="T184" s="30" t="str">
        <f t="shared" si="51"/>
        <v/>
      </c>
      <c r="U184" s="30" t="str">
        <f t="shared" si="52"/>
        <v/>
      </c>
      <c r="V184" s="30" t="str">
        <f t="shared" si="53"/>
        <v/>
      </c>
      <c r="W184" s="30" t="str">
        <f t="shared" si="54"/>
        <v/>
      </c>
    </row>
    <row r="185" spans="1:23" x14ac:dyDescent="0.2">
      <c r="A185" s="34">
        <f t="shared" si="41"/>
        <v>0</v>
      </c>
      <c r="B185" s="34">
        <v>172</v>
      </c>
      <c r="C185" s="34">
        <f t="shared" si="42"/>
        <v>0</v>
      </c>
      <c r="D185" s="30" t="str">
        <f>IF(A185=0,"",IF('Metric Data'!AG174&gt;=1, INDEX(Metric_Incremental[], MATCH('Metric Data'!AG174, Metric_Incremental[Height], 1), MATCH('Cumulative Volumes Metric'!$F$4, Metric_Incremental[#Headers], 0)), 0))</f>
        <v/>
      </c>
      <c r="E185" s="80" t="str">
        <f>IF(A185=0,"",IF('Metric Data'!AG174&gt;=1, INDEX(Metric_Incremental[], MATCH('Metric Data'!AG174, Metric_Incremental[Height], 1), MATCH('Cumulative Volumes Metric'!$F$4 &amp; "EC", Metric_Incremental[#Headers], 0)), 0))</f>
        <v/>
      </c>
      <c r="F185" s="30" t="str">
        <f t="shared" si="43"/>
        <v/>
      </c>
      <c r="G185" s="30" t="str">
        <f t="shared" si="44"/>
        <v/>
      </c>
      <c r="H185" s="30" t="str">
        <f>IF(A185=0,"",IF('Cumulative Volumes Metric'!$AR$17=FALSE,J185,I185))</f>
        <v/>
      </c>
      <c r="I185" s="30" t="str">
        <f t="shared" si="45"/>
        <v/>
      </c>
      <c r="J185" s="30" t="str">
        <f t="shared" si="46"/>
        <v/>
      </c>
      <c r="K185" s="30" t="str">
        <f>IF(A185=0,"",IF('Cumulative Volumes Metric'!$AR$17=FALSE,M185,L185))</f>
        <v/>
      </c>
      <c r="L185" s="30" t="str">
        <f t="shared" si="47"/>
        <v/>
      </c>
      <c r="M185" s="30" t="str">
        <f t="shared" si="48"/>
        <v/>
      </c>
      <c r="N185" s="30" t="str">
        <f>IF(($E$8/25.4)+45+($E$9/25.4)&gt;989,"FALSE",IF(A185="","",IF('Cumulative Volumes Metric'!$AR$17=FALSE,P185,O185)))</f>
        <v/>
      </c>
      <c r="O185" s="30" t="str">
        <f t="shared" si="49"/>
        <v/>
      </c>
      <c r="P185" s="30" t="str">
        <f>IF(A185=0,"",IF('Cumulative Volumes Metric'!$AR$17=FALSE,(U185*$E$4)+(V185*$E$5),O185))</f>
        <v/>
      </c>
      <c r="Q185" s="30" t="str">
        <f>IF(A185=0,"",(((25.4/1000)*'Metric Data'!$AC$4*'Metric Data'!$AC$5)-D185)*($E$6/100))</f>
        <v/>
      </c>
      <c r="R185" s="30" t="str">
        <f t="shared" si="50"/>
        <v/>
      </c>
      <c r="S185" s="30" t="str">
        <f>IF(A185=0,"",(((25.4/1000)*'Metric Data'!$AC$5*'Metric Data'!$AC$7)-E185)*($E$6/100))</f>
        <v/>
      </c>
      <c r="T185" s="30" t="str">
        <f t="shared" si="51"/>
        <v/>
      </c>
      <c r="U185" s="30" t="str">
        <f t="shared" si="52"/>
        <v/>
      </c>
      <c r="V185" s="30" t="str">
        <f t="shared" si="53"/>
        <v/>
      </c>
      <c r="W185" s="30" t="str">
        <f t="shared" si="54"/>
        <v/>
      </c>
    </row>
    <row r="186" spans="1:23" x14ac:dyDescent="0.2">
      <c r="A186" s="34">
        <f t="shared" si="41"/>
        <v>0</v>
      </c>
      <c r="B186" s="34">
        <v>173</v>
      </c>
      <c r="C186" s="34">
        <f t="shared" si="42"/>
        <v>0</v>
      </c>
      <c r="D186" s="30" t="str">
        <f>IF(A186=0,"",IF('Metric Data'!AG175&gt;=1, INDEX(Metric_Incremental[], MATCH('Metric Data'!AG175, Metric_Incremental[Height], 1), MATCH('Cumulative Volumes Metric'!$F$4, Metric_Incremental[#Headers], 0)), 0))</f>
        <v/>
      </c>
      <c r="E186" s="80" t="str">
        <f>IF(A186=0,"",IF('Metric Data'!AG175&gt;=1, INDEX(Metric_Incremental[], MATCH('Metric Data'!AG175, Metric_Incremental[Height], 1), MATCH('Cumulative Volumes Metric'!$F$4 &amp; "EC", Metric_Incremental[#Headers], 0)), 0))</f>
        <v/>
      </c>
      <c r="F186" s="30" t="str">
        <f t="shared" si="43"/>
        <v/>
      </c>
      <c r="G186" s="30" t="str">
        <f t="shared" si="44"/>
        <v/>
      </c>
      <c r="H186" s="30" t="str">
        <f>IF(A186=0,"",IF('Cumulative Volumes Metric'!$AR$17=FALSE,J186,I186))</f>
        <v/>
      </c>
      <c r="I186" s="30" t="str">
        <f t="shared" si="45"/>
        <v/>
      </c>
      <c r="J186" s="30" t="str">
        <f t="shared" si="46"/>
        <v/>
      </c>
      <c r="K186" s="30" t="str">
        <f>IF(A186=0,"",IF('Cumulative Volumes Metric'!$AR$17=FALSE,M186,L186))</f>
        <v/>
      </c>
      <c r="L186" s="30" t="str">
        <f t="shared" si="47"/>
        <v/>
      </c>
      <c r="M186" s="30" t="str">
        <f t="shared" si="48"/>
        <v/>
      </c>
      <c r="N186" s="30" t="str">
        <f>IF(($E$8/25.4)+45+($E$9/25.4)&gt;989,"FALSE",IF(A186="","",IF('Cumulative Volumes Metric'!$AR$17=FALSE,P186,O186)))</f>
        <v/>
      </c>
      <c r="O186" s="30" t="str">
        <f t="shared" si="49"/>
        <v/>
      </c>
      <c r="P186" s="30" t="str">
        <f>IF(A186=0,"",IF('Cumulative Volumes Metric'!$AR$17=FALSE,(U186*$E$4)+(V186*$E$5),O186))</f>
        <v/>
      </c>
      <c r="Q186" s="30" t="str">
        <f>IF(A186=0,"",(((25.4/1000)*'Metric Data'!$AC$4*'Metric Data'!$AC$5)-D186)*($E$6/100))</f>
        <v/>
      </c>
      <c r="R186" s="30" t="str">
        <f t="shared" si="50"/>
        <v/>
      </c>
      <c r="S186" s="30" t="str">
        <f>IF(A186=0,"",(((25.4/1000)*'Metric Data'!$AC$5*'Metric Data'!$AC$7)-E186)*($E$6/100))</f>
        <v/>
      </c>
      <c r="T186" s="30" t="str">
        <f t="shared" si="51"/>
        <v/>
      </c>
      <c r="U186" s="30" t="str">
        <f t="shared" si="52"/>
        <v/>
      </c>
      <c r="V186" s="30" t="str">
        <f t="shared" si="53"/>
        <v/>
      </c>
      <c r="W186" s="30" t="str">
        <f t="shared" si="54"/>
        <v/>
      </c>
    </row>
    <row r="187" spans="1:23" x14ac:dyDescent="0.2">
      <c r="A187" s="34">
        <f t="shared" si="41"/>
        <v>0</v>
      </c>
      <c r="B187" s="34">
        <v>174</v>
      </c>
      <c r="C187" s="34">
        <f t="shared" si="42"/>
        <v>0</v>
      </c>
      <c r="D187" s="30" t="str">
        <f>IF(A187=0,"",IF('Metric Data'!AG176&gt;=1, INDEX(Metric_Incremental[], MATCH('Metric Data'!AG176, Metric_Incremental[Height], 1), MATCH('Cumulative Volumes Metric'!$F$4, Metric_Incremental[#Headers], 0)), 0))</f>
        <v/>
      </c>
      <c r="E187" s="80" t="str">
        <f>IF(A187=0,"",IF('Metric Data'!AG176&gt;=1, INDEX(Metric_Incremental[], MATCH('Metric Data'!AG176, Metric_Incremental[Height], 1), MATCH('Cumulative Volumes Metric'!$F$4 &amp; "EC", Metric_Incremental[#Headers], 0)), 0))</f>
        <v/>
      </c>
      <c r="F187" s="30" t="str">
        <f t="shared" si="43"/>
        <v/>
      </c>
      <c r="G187" s="30" t="str">
        <f t="shared" si="44"/>
        <v/>
      </c>
      <c r="H187" s="30" t="str">
        <f>IF(A187=0,"",IF('Cumulative Volumes Metric'!$AR$17=FALSE,J187,I187))</f>
        <v/>
      </c>
      <c r="I187" s="30" t="str">
        <f t="shared" si="45"/>
        <v/>
      </c>
      <c r="J187" s="30" t="str">
        <f t="shared" si="46"/>
        <v/>
      </c>
      <c r="K187" s="30" t="str">
        <f>IF(A187=0,"",IF('Cumulative Volumes Metric'!$AR$17=FALSE,M187,L187))</f>
        <v/>
      </c>
      <c r="L187" s="30" t="str">
        <f t="shared" si="47"/>
        <v/>
      </c>
      <c r="M187" s="30" t="str">
        <f t="shared" si="48"/>
        <v/>
      </c>
      <c r="N187" s="30" t="str">
        <f>IF(($E$8/25.4)+45+($E$9/25.4)&gt;989,"FALSE",IF(A187="","",IF('Cumulative Volumes Metric'!$AR$17=FALSE,P187,O187)))</f>
        <v/>
      </c>
      <c r="O187" s="30" t="str">
        <f t="shared" si="49"/>
        <v/>
      </c>
      <c r="P187" s="30" t="str">
        <f>IF(A187=0,"",IF('Cumulative Volumes Metric'!$AR$17=FALSE,(U187*$E$4)+(V187*$E$5),O187))</f>
        <v/>
      </c>
      <c r="Q187" s="30" t="str">
        <f>IF(A187=0,"",(((25.4/1000)*'Metric Data'!$AC$4*'Metric Data'!$AC$5)-D187)*($E$6/100))</f>
        <v/>
      </c>
      <c r="R187" s="30" t="str">
        <f t="shared" si="50"/>
        <v/>
      </c>
      <c r="S187" s="30" t="str">
        <f>IF(A187=0,"",(((25.4/1000)*'Metric Data'!$AC$5*'Metric Data'!$AC$7)-E187)*($E$6/100))</f>
        <v/>
      </c>
      <c r="T187" s="30" t="str">
        <f t="shared" si="51"/>
        <v/>
      </c>
      <c r="U187" s="30" t="str">
        <f t="shared" si="52"/>
        <v/>
      </c>
      <c r="V187" s="30" t="str">
        <f t="shared" si="53"/>
        <v/>
      </c>
      <c r="W187" s="30" t="str">
        <f t="shared" si="54"/>
        <v/>
      </c>
    </row>
    <row r="188" spans="1:23" x14ac:dyDescent="0.2">
      <c r="A188" s="34">
        <f t="shared" si="41"/>
        <v>0</v>
      </c>
      <c r="B188" s="34">
        <v>175</v>
      </c>
      <c r="C188" s="34">
        <f t="shared" si="42"/>
        <v>0</v>
      </c>
      <c r="D188" s="30" t="str">
        <f>IF(A188=0,"",IF('Metric Data'!AG177&gt;=1, INDEX(Metric_Incremental[], MATCH('Metric Data'!AG177, Metric_Incremental[Height], 1), MATCH('Cumulative Volumes Metric'!$F$4, Metric_Incremental[#Headers], 0)), 0))</f>
        <v/>
      </c>
      <c r="E188" s="80" t="str">
        <f>IF(A188=0,"",IF('Metric Data'!AG177&gt;=1, INDEX(Metric_Incremental[], MATCH('Metric Data'!AG177, Metric_Incremental[Height], 1), MATCH('Cumulative Volumes Metric'!$F$4 &amp; "EC", Metric_Incremental[#Headers], 0)), 0))</f>
        <v/>
      </c>
      <c r="F188" s="30" t="str">
        <f t="shared" si="43"/>
        <v/>
      </c>
      <c r="G188" s="30" t="str">
        <f t="shared" si="44"/>
        <v/>
      </c>
      <c r="H188" s="30" t="str">
        <f>IF(A188=0,"",IF('Cumulative Volumes Metric'!$AR$17=FALSE,J188,I188))</f>
        <v/>
      </c>
      <c r="I188" s="30" t="str">
        <f t="shared" si="45"/>
        <v/>
      </c>
      <c r="J188" s="30" t="str">
        <f t="shared" si="46"/>
        <v/>
      </c>
      <c r="K188" s="30" t="str">
        <f>IF(A188=0,"",IF('Cumulative Volumes Metric'!$AR$17=FALSE,M188,L188))</f>
        <v/>
      </c>
      <c r="L188" s="30" t="str">
        <f t="shared" si="47"/>
        <v/>
      </c>
      <c r="M188" s="30" t="str">
        <f t="shared" si="48"/>
        <v/>
      </c>
      <c r="N188" s="30" t="str">
        <f>IF(($E$8/25.4)+45+($E$9/25.4)&gt;989,"FALSE",IF(A188="","",IF('Cumulative Volumes Metric'!$AR$17=FALSE,P188,O188)))</f>
        <v/>
      </c>
      <c r="O188" s="30" t="str">
        <f t="shared" si="49"/>
        <v/>
      </c>
      <c r="P188" s="30" t="str">
        <f>IF(A188=0,"",IF('Cumulative Volumes Metric'!$AR$17=FALSE,(U188*$E$4)+(V188*$E$5),O188))</f>
        <v/>
      </c>
      <c r="Q188" s="30" t="str">
        <f>IF(A188=0,"",(((25.4/1000)*'Metric Data'!$AC$4*'Metric Data'!$AC$5)-D188)*($E$6/100))</f>
        <v/>
      </c>
      <c r="R188" s="30" t="str">
        <f t="shared" si="50"/>
        <v/>
      </c>
      <c r="S188" s="30" t="str">
        <f>IF(A188=0,"",(((25.4/1000)*'Metric Data'!$AC$5*'Metric Data'!$AC$7)-E188)*($E$6/100))</f>
        <v/>
      </c>
      <c r="T188" s="30" t="str">
        <f t="shared" si="51"/>
        <v/>
      </c>
      <c r="U188" s="30" t="str">
        <f t="shared" si="52"/>
        <v/>
      </c>
      <c r="V188" s="30" t="str">
        <f t="shared" si="53"/>
        <v/>
      </c>
      <c r="W188" s="30" t="str">
        <f t="shared" si="54"/>
        <v/>
      </c>
    </row>
    <row r="189" spans="1:23" x14ac:dyDescent="0.2">
      <c r="A189" s="34">
        <f t="shared" si="41"/>
        <v>0</v>
      </c>
      <c r="B189" s="34">
        <v>176</v>
      </c>
      <c r="C189" s="34">
        <f t="shared" si="42"/>
        <v>0</v>
      </c>
      <c r="D189" s="30" t="str">
        <f>IF(A189=0,"",IF('Metric Data'!AG178&gt;=1, INDEX(Metric_Incremental[], MATCH('Metric Data'!AG178, Metric_Incremental[Height], 1), MATCH('Cumulative Volumes Metric'!$F$4, Metric_Incremental[#Headers], 0)), 0))</f>
        <v/>
      </c>
      <c r="E189" s="80" t="str">
        <f>IF(A189=0,"",IF('Metric Data'!AG178&gt;=1, INDEX(Metric_Incremental[], MATCH('Metric Data'!AG178, Metric_Incremental[Height], 1), MATCH('Cumulative Volumes Metric'!$F$4 &amp; "EC", Metric_Incremental[#Headers], 0)), 0))</f>
        <v/>
      </c>
      <c r="F189" s="30" t="str">
        <f t="shared" si="43"/>
        <v/>
      </c>
      <c r="G189" s="30" t="str">
        <f t="shared" si="44"/>
        <v/>
      </c>
      <c r="H189" s="30" t="str">
        <f>IF(A189=0,"",IF('Cumulative Volumes Metric'!$AR$17=FALSE,J189,I189))</f>
        <v/>
      </c>
      <c r="I189" s="30" t="str">
        <f t="shared" si="45"/>
        <v/>
      </c>
      <c r="J189" s="30" t="str">
        <f t="shared" si="46"/>
        <v/>
      </c>
      <c r="K189" s="30" t="str">
        <f>IF(A189=0,"",IF('Cumulative Volumes Metric'!$AR$17=FALSE,M189,L189))</f>
        <v/>
      </c>
      <c r="L189" s="30" t="str">
        <f t="shared" si="47"/>
        <v/>
      </c>
      <c r="M189" s="30" t="str">
        <f t="shared" si="48"/>
        <v/>
      </c>
      <c r="N189" s="30" t="str">
        <f>IF(($E$8/25.4)+45+($E$9/25.4)&gt;989,"FALSE",IF(A189="","",IF('Cumulative Volumes Metric'!$AR$17=FALSE,P189,O189)))</f>
        <v/>
      </c>
      <c r="O189" s="30" t="str">
        <f t="shared" si="49"/>
        <v/>
      </c>
      <c r="P189" s="30" t="str">
        <f>IF(A189=0,"",IF('Cumulative Volumes Metric'!$AR$17=FALSE,(U189*$E$4)+(V189*$E$5),O189))</f>
        <v/>
      </c>
      <c r="Q189" s="30" t="str">
        <f>IF(A189=0,"",(((25.4/1000)*'Metric Data'!$AC$4*'Metric Data'!$AC$5)-D189)*($E$6/100))</f>
        <v/>
      </c>
      <c r="R189" s="30" t="str">
        <f t="shared" si="50"/>
        <v/>
      </c>
      <c r="S189" s="30" t="str">
        <f>IF(A189=0,"",(((25.4/1000)*'Metric Data'!$AC$5*'Metric Data'!$AC$7)-E189)*($E$6/100))</f>
        <v/>
      </c>
      <c r="T189" s="30" t="str">
        <f t="shared" si="51"/>
        <v/>
      </c>
      <c r="U189" s="30" t="str">
        <f t="shared" si="52"/>
        <v/>
      </c>
      <c r="V189" s="30" t="str">
        <f t="shared" si="53"/>
        <v/>
      </c>
      <c r="W189" s="30" t="str">
        <f t="shared" si="54"/>
        <v/>
      </c>
    </row>
    <row r="190" spans="1:23" x14ac:dyDescent="0.2">
      <c r="A190" s="34">
        <f t="shared" si="41"/>
        <v>0</v>
      </c>
      <c r="B190" s="34">
        <v>177</v>
      </c>
      <c r="C190" s="34">
        <f t="shared" si="42"/>
        <v>0</v>
      </c>
      <c r="D190" s="30" t="str">
        <f>IF(A190=0,"",IF('Metric Data'!AG179&gt;=1, INDEX(Metric_Incremental[], MATCH('Metric Data'!AG179, Metric_Incremental[Height], 1), MATCH('Cumulative Volumes Metric'!$F$4, Metric_Incremental[#Headers], 0)), 0))</f>
        <v/>
      </c>
      <c r="E190" s="80" t="str">
        <f>IF(A190=0,"",IF('Metric Data'!AG179&gt;=1, INDEX(Metric_Incremental[], MATCH('Metric Data'!AG179, Metric_Incremental[Height], 1), MATCH('Cumulative Volumes Metric'!$F$4 &amp; "EC", Metric_Incremental[#Headers], 0)), 0))</f>
        <v/>
      </c>
      <c r="F190" s="30" t="str">
        <f t="shared" si="43"/>
        <v/>
      </c>
      <c r="G190" s="30" t="str">
        <f t="shared" si="44"/>
        <v/>
      </c>
      <c r="H190" s="30" t="str">
        <f>IF(A190=0,"",IF('Cumulative Volumes Metric'!$AR$17=FALSE,J190,I190))</f>
        <v/>
      </c>
      <c r="I190" s="30" t="str">
        <f t="shared" si="45"/>
        <v/>
      </c>
      <c r="J190" s="30" t="str">
        <f t="shared" si="46"/>
        <v/>
      </c>
      <c r="K190" s="30" t="str">
        <f>IF(A190=0,"",IF('Cumulative Volumes Metric'!$AR$17=FALSE,M190,L190))</f>
        <v/>
      </c>
      <c r="L190" s="30" t="str">
        <f t="shared" si="47"/>
        <v/>
      </c>
      <c r="M190" s="30" t="str">
        <f t="shared" si="48"/>
        <v/>
      </c>
      <c r="N190" s="30" t="str">
        <f>IF(($E$8/25.4)+45+($E$9/25.4)&gt;989,"FALSE",IF(A190="","",IF('Cumulative Volumes Metric'!$AR$17=FALSE,P190,O190)))</f>
        <v/>
      </c>
      <c r="O190" s="30" t="str">
        <f t="shared" si="49"/>
        <v/>
      </c>
      <c r="P190" s="30" t="str">
        <f>IF(A190=0,"",IF('Cumulative Volumes Metric'!$AR$17=FALSE,(U190*$E$4)+(V190*$E$5),O190))</f>
        <v/>
      </c>
      <c r="Q190" s="30" t="str">
        <f>IF(A190=0,"",(((25.4/1000)*'Metric Data'!$AC$4*'Metric Data'!$AC$5)-D190)*($E$6/100))</f>
        <v/>
      </c>
      <c r="R190" s="30" t="str">
        <f t="shared" si="50"/>
        <v/>
      </c>
      <c r="S190" s="30" t="str">
        <f>IF(A190=0,"",(((25.4/1000)*'Metric Data'!$AC$5*'Metric Data'!$AC$7)-E190)*($E$6/100))</f>
        <v/>
      </c>
      <c r="T190" s="30" t="str">
        <f t="shared" si="51"/>
        <v/>
      </c>
      <c r="U190" s="30" t="str">
        <f t="shared" si="52"/>
        <v/>
      </c>
      <c r="V190" s="30" t="str">
        <f t="shared" si="53"/>
        <v/>
      </c>
      <c r="W190" s="30" t="str">
        <f t="shared" si="54"/>
        <v/>
      </c>
    </row>
    <row r="191" spans="1:23" x14ac:dyDescent="0.2">
      <c r="A191" s="34">
        <f t="shared" si="41"/>
        <v>0</v>
      </c>
      <c r="B191" s="34">
        <v>178</v>
      </c>
      <c r="C191" s="34">
        <f t="shared" si="42"/>
        <v>0</v>
      </c>
      <c r="D191" s="30" t="str">
        <f>IF(A191=0,"",IF('Metric Data'!AG180&gt;=1, INDEX(Metric_Incremental[], MATCH('Metric Data'!AG180, Metric_Incremental[Height], 1), MATCH('Cumulative Volumes Metric'!$F$4, Metric_Incremental[#Headers], 0)), 0))</f>
        <v/>
      </c>
      <c r="E191" s="80" t="str">
        <f>IF(A191=0,"",IF('Metric Data'!AG180&gt;=1, INDEX(Metric_Incremental[], MATCH('Metric Data'!AG180, Metric_Incremental[Height], 1), MATCH('Cumulative Volumes Metric'!$F$4 &amp; "EC", Metric_Incremental[#Headers], 0)), 0))</f>
        <v/>
      </c>
      <c r="F191" s="30" t="str">
        <f t="shared" si="43"/>
        <v/>
      </c>
      <c r="G191" s="30" t="str">
        <f t="shared" si="44"/>
        <v/>
      </c>
      <c r="H191" s="30" t="str">
        <f>IF(A191=0,"",IF('Cumulative Volumes Metric'!$AR$17=FALSE,J191,I191))</f>
        <v/>
      </c>
      <c r="I191" s="30" t="str">
        <f t="shared" si="45"/>
        <v/>
      </c>
      <c r="J191" s="30" t="str">
        <f t="shared" si="46"/>
        <v/>
      </c>
      <c r="K191" s="30" t="str">
        <f>IF(A191=0,"",IF('Cumulative Volumes Metric'!$AR$17=FALSE,M191,L191))</f>
        <v/>
      </c>
      <c r="L191" s="30" t="str">
        <f t="shared" si="47"/>
        <v/>
      </c>
      <c r="M191" s="30" t="str">
        <f t="shared" si="48"/>
        <v/>
      </c>
      <c r="N191" s="30" t="str">
        <f>IF(($E$8/25.4)+45+($E$9/25.4)&gt;989,"FALSE",IF(A191="","",IF('Cumulative Volumes Metric'!$AR$17=FALSE,P191,O191)))</f>
        <v/>
      </c>
      <c r="O191" s="30" t="str">
        <f t="shared" si="49"/>
        <v/>
      </c>
      <c r="P191" s="30" t="str">
        <f>IF(A191=0,"",IF('Cumulative Volumes Metric'!$AR$17=FALSE,(U191*$E$4)+(V191*$E$5),O191))</f>
        <v/>
      </c>
      <c r="Q191" s="30" t="str">
        <f>IF(A191=0,"",(((25.4/1000)*'Metric Data'!$AC$4*'Metric Data'!$AC$5)-D191)*($E$6/100))</f>
        <v/>
      </c>
      <c r="R191" s="30" t="str">
        <f t="shared" si="50"/>
        <v/>
      </c>
      <c r="S191" s="30" t="str">
        <f>IF(A191=0,"",(((25.4/1000)*'Metric Data'!$AC$5*'Metric Data'!$AC$7)-E191)*($E$6/100))</f>
        <v/>
      </c>
      <c r="T191" s="30" t="str">
        <f t="shared" si="51"/>
        <v/>
      </c>
      <c r="U191" s="30" t="str">
        <f t="shared" si="52"/>
        <v/>
      </c>
      <c r="V191" s="30" t="str">
        <f t="shared" si="53"/>
        <v/>
      </c>
      <c r="W191" s="30" t="str">
        <f t="shared" si="54"/>
        <v/>
      </c>
    </row>
    <row r="192" spans="1:23" x14ac:dyDescent="0.2">
      <c r="A192" s="34">
        <f t="shared" si="41"/>
        <v>0</v>
      </c>
      <c r="B192" s="34">
        <v>179</v>
      </c>
      <c r="C192" s="34">
        <f t="shared" si="42"/>
        <v>0</v>
      </c>
      <c r="D192" s="30" t="str">
        <f>IF(A192=0,"",IF('Metric Data'!AG181&gt;=1, INDEX(Metric_Incremental[], MATCH('Metric Data'!AG181, Metric_Incremental[Height], 1), MATCH('Cumulative Volumes Metric'!$F$4, Metric_Incremental[#Headers], 0)), 0))</f>
        <v/>
      </c>
      <c r="E192" s="80" t="str">
        <f>IF(A192=0,"",IF('Metric Data'!AG181&gt;=1, INDEX(Metric_Incremental[], MATCH('Metric Data'!AG181, Metric_Incremental[Height], 1), MATCH('Cumulative Volumes Metric'!$F$4 &amp; "EC", Metric_Incremental[#Headers], 0)), 0))</f>
        <v/>
      </c>
      <c r="F192" s="30" t="str">
        <f t="shared" si="43"/>
        <v/>
      </c>
      <c r="G192" s="30" t="str">
        <f t="shared" si="44"/>
        <v/>
      </c>
      <c r="H192" s="30" t="str">
        <f>IF(A192=0,"",IF('Cumulative Volumes Metric'!$AR$17=FALSE,J192,I192))</f>
        <v/>
      </c>
      <c r="I192" s="30" t="str">
        <f t="shared" si="45"/>
        <v/>
      </c>
      <c r="J192" s="30" t="str">
        <f t="shared" si="46"/>
        <v/>
      </c>
      <c r="K192" s="30" t="str">
        <f>IF(A192=0,"",IF('Cumulative Volumes Metric'!$AR$17=FALSE,M192,L192))</f>
        <v/>
      </c>
      <c r="L192" s="30" t="str">
        <f t="shared" si="47"/>
        <v/>
      </c>
      <c r="M192" s="30" t="str">
        <f t="shared" si="48"/>
        <v/>
      </c>
      <c r="N192" s="30" t="str">
        <f>IF(($E$8/25.4)+45+($E$9/25.4)&gt;989,"FALSE",IF(A192="","",IF('Cumulative Volumes Metric'!$AR$17=FALSE,P192,O192)))</f>
        <v/>
      </c>
      <c r="O192" s="30" t="str">
        <f t="shared" si="49"/>
        <v/>
      </c>
      <c r="P192" s="30" t="str">
        <f>IF(A192=0,"",IF('Cumulative Volumes Metric'!$AR$17=FALSE,(U192*$E$4)+(V192*$E$5),O192))</f>
        <v/>
      </c>
      <c r="Q192" s="30" t="str">
        <f>IF(A192=0,"",(((25.4/1000)*'Metric Data'!$AC$4*'Metric Data'!$AC$5)-D192)*($E$6/100))</f>
        <v/>
      </c>
      <c r="R192" s="30" t="str">
        <f t="shared" si="50"/>
        <v/>
      </c>
      <c r="S192" s="30" t="str">
        <f>IF(A192=0,"",(((25.4/1000)*'Metric Data'!$AC$5*'Metric Data'!$AC$7)-E192)*($E$6/100))</f>
        <v/>
      </c>
      <c r="T192" s="30" t="str">
        <f t="shared" si="51"/>
        <v/>
      </c>
      <c r="U192" s="30" t="str">
        <f t="shared" si="52"/>
        <v/>
      </c>
      <c r="V192" s="30" t="str">
        <f t="shared" si="53"/>
        <v/>
      </c>
      <c r="W192" s="30" t="str">
        <f t="shared" si="54"/>
        <v/>
      </c>
    </row>
    <row r="193" spans="1:23" x14ac:dyDescent="0.2">
      <c r="A193" s="34">
        <f t="shared" si="41"/>
        <v>0</v>
      </c>
      <c r="B193" s="34">
        <v>180</v>
      </c>
      <c r="C193" s="34">
        <f t="shared" si="42"/>
        <v>0</v>
      </c>
      <c r="D193" s="30" t="str">
        <f>IF(A193=0,"",IF('Metric Data'!AG182&gt;=1, INDEX(Metric_Incremental[], MATCH('Metric Data'!AG182, Metric_Incremental[Height], 1), MATCH('Cumulative Volumes Metric'!$F$4, Metric_Incremental[#Headers], 0)), 0))</f>
        <v/>
      </c>
      <c r="E193" s="80" t="str">
        <f>IF(A193=0,"",IF('Metric Data'!AG182&gt;=1, INDEX(Metric_Incremental[], MATCH('Metric Data'!AG182, Metric_Incremental[Height], 1), MATCH('Cumulative Volumes Metric'!$F$4 &amp; "EC", Metric_Incremental[#Headers], 0)), 0))</f>
        <v/>
      </c>
      <c r="F193" s="30" t="str">
        <f t="shared" si="43"/>
        <v/>
      </c>
      <c r="G193" s="30" t="str">
        <f t="shared" si="44"/>
        <v/>
      </c>
      <c r="H193" s="30" t="str">
        <f>IF(A193=0,"",IF('Cumulative Volumes Metric'!$AR$17=FALSE,J193,I193))</f>
        <v/>
      </c>
      <c r="I193" s="30" t="str">
        <f t="shared" si="45"/>
        <v/>
      </c>
      <c r="J193" s="30" t="str">
        <f t="shared" si="46"/>
        <v/>
      </c>
      <c r="K193" s="30" t="str">
        <f>IF(A193=0,"",IF('Cumulative Volumes Metric'!$AR$17=FALSE,M193,L193))</f>
        <v/>
      </c>
      <c r="L193" s="30" t="str">
        <f t="shared" si="47"/>
        <v/>
      </c>
      <c r="M193" s="30" t="str">
        <f t="shared" si="48"/>
        <v/>
      </c>
      <c r="N193" s="30" t="str">
        <f>IF(($E$8/25.4)+45+($E$9/25.4)&gt;989,"FALSE",IF(A193="","",IF('Cumulative Volumes Metric'!$AR$17=FALSE,P193,O193)))</f>
        <v/>
      </c>
      <c r="O193" s="30" t="str">
        <f t="shared" si="49"/>
        <v/>
      </c>
      <c r="P193" s="30" t="str">
        <f>IF(A193=0,"",IF('Cumulative Volumes Metric'!$AR$17=FALSE,(U193*$E$4)+(V193*$E$5),O193))</f>
        <v/>
      </c>
      <c r="Q193" s="30" t="str">
        <f>IF(A193=0,"",(((25.4/1000)*'Metric Data'!$AC$4*'Metric Data'!$AC$5)-D193)*($E$6/100))</f>
        <v/>
      </c>
      <c r="R193" s="30" t="str">
        <f t="shared" si="50"/>
        <v/>
      </c>
      <c r="S193" s="30" t="str">
        <f>IF(A193=0,"",(((25.4/1000)*'Metric Data'!$AC$5*'Metric Data'!$AC$7)-E193)*($E$6/100))</f>
        <v/>
      </c>
      <c r="T193" s="30" t="str">
        <f t="shared" si="51"/>
        <v/>
      </c>
      <c r="U193" s="30" t="str">
        <f t="shared" si="52"/>
        <v/>
      </c>
      <c r="V193" s="30" t="str">
        <f t="shared" si="53"/>
        <v/>
      </c>
      <c r="W193" s="30" t="str">
        <f t="shared" si="54"/>
        <v/>
      </c>
    </row>
    <row r="194" spans="1:23" x14ac:dyDescent="0.2">
      <c r="A194" s="34">
        <f t="shared" si="41"/>
        <v>0</v>
      </c>
      <c r="B194" s="34">
        <v>181</v>
      </c>
      <c r="C194" s="34">
        <f t="shared" si="42"/>
        <v>0</v>
      </c>
      <c r="D194" s="30" t="str">
        <f>IF(A194=0,"",IF('Metric Data'!AG183&gt;=1, INDEX(Metric_Incremental[], MATCH('Metric Data'!AG183, Metric_Incremental[Height], 1), MATCH('Cumulative Volumes Metric'!$F$4, Metric_Incremental[#Headers], 0)), 0))</f>
        <v/>
      </c>
      <c r="E194" s="80" t="str">
        <f>IF(A194=0,"",IF('Metric Data'!AG183&gt;=1, INDEX(Metric_Incremental[], MATCH('Metric Data'!AG183, Metric_Incremental[Height], 1), MATCH('Cumulative Volumes Metric'!$F$4 &amp; "EC", Metric_Incremental[#Headers], 0)), 0))</f>
        <v/>
      </c>
      <c r="F194" s="30" t="str">
        <f t="shared" si="43"/>
        <v/>
      </c>
      <c r="G194" s="30" t="str">
        <f t="shared" si="44"/>
        <v/>
      </c>
      <c r="H194" s="30" t="str">
        <f>IF(A194=0,"",IF('Cumulative Volumes Metric'!$AR$17=FALSE,J194,I194))</f>
        <v/>
      </c>
      <c r="I194" s="30" t="str">
        <f t="shared" si="45"/>
        <v/>
      </c>
      <c r="J194" s="30" t="str">
        <f t="shared" si="46"/>
        <v/>
      </c>
      <c r="K194" s="30" t="str">
        <f>IF(A194=0,"",IF('Cumulative Volumes Metric'!$AR$17=FALSE,M194,L194))</f>
        <v/>
      </c>
      <c r="L194" s="30" t="str">
        <f t="shared" si="47"/>
        <v/>
      </c>
      <c r="M194" s="30" t="str">
        <f t="shared" si="48"/>
        <v/>
      </c>
      <c r="N194" s="30" t="str">
        <f>IF(($E$8/25.4)+45+($E$9/25.4)&gt;989,"FALSE",IF(A194="","",IF('Cumulative Volumes Metric'!$AR$17=FALSE,P194,O194)))</f>
        <v/>
      </c>
      <c r="O194" s="30" t="str">
        <f t="shared" si="49"/>
        <v/>
      </c>
      <c r="P194" s="30" t="str">
        <f>IF(A194=0,"",IF('Cumulative Volumes Metric'!$AR$17=FALSE,(U194*$E$4)+(V194*$E$5),O194))</f>
        <v/>
      </c>
      <c r="Q194" s="30" t="str">
        <f>IF(A194=0,"",(((25.4/1000)*'Metric Data'!$AC$4*'Metric Data'!$AC$5)-D194)*($E$6/100))</f>
        <v/>
      </c>
      <c r="R194" s="30" t="str">
        <f t="shared" si="50"/>
        <v/>
      </c>
      <c r="S194" s="30" t="str">
        <f>IF(A194=0,"",(((25.4/1000)*'Metric Data'!$AC$5*'Metric Data'!$AC$7)-E194)*($E$6/100))</f>
        <v/>
      </c>
      <c r="T194" s="30" t="str">
        <f t="shared" si="51"/>
        <v/>
      </c>
      <c r="U194" s="30" t="str">
        <f t="shared" si="52"/>
        <v/>
      </c>
      <c r="V194" s="30" t="str">
        <f t="shared" si="53"/>
        <v/>
      </c>
      <c r="W194" s="30" t="str">
        <f t="shared" si="54"/>
        <v/>
      </c>
    </row>
    <row r="195" spans="1:23" x14ac:dyDescent="0.2">
      <c r="A195" s="34">
        <f t="shared" si="41"/>
        <v>0</v>
      </c>
      <c r="B195" s="34">
        <v>182</v>
      </c>
      <c r="C195" s="34">
        <f t="shared" si="42"/>
        <v>0</v>
      </c>
      <c r="D195" s="30" t="str">
        <f>IF(A195=0,"",IF('Metric Data'!AG184&gt;=1, INDEX(Metric_Incremental[], MATCH('Metric Data'!AG184, Metric_Incremental[Height], 1), MATCH('Cumulative Volumes Metric'!$F$4, Metric_Incremental[#Headers], 0)), 0))</f>
        <v/>
      </c>
      <c r="E195" s="80" t="str">
        <f>IF(A195=0,"",IF('Metric Data'!AG184&gt;=1, INDEX(Metric_Incremental[], MATCH('Metric Data'!AG184, Metric_Incremental[Height], 1), MATCH('Cumulative Volumes Metric'!$F$4 &amp; "EC", Metric_Incremental[#Headers], 0)), 0))</f>
        <v/>
      </c>
      <c r="F195" s="30" t="str">
        <f t="shared" si="43"/>
        <v/>
      </c>
      <c r="G195" s="30" t="str">
        <f t="shared" si="44"/>
        <v/>
      </c>
      <c r="H195" s="30" t="str">
        <f>IF(A195=0,"",IF('Cumulative Volumes Metric'!$AR$17=FALSE,J195,I195))</f>
        <v/>
      </c>
      <c r="I195" s="30" t="str">
        <f t="shared" si="45"/>
        <v/>
      </c>
      <c r="J195" s="30" t="str">
        <f t="shared" si="46"/>
        <v/>
      </c>
      <c r="K195" s="30" t="str">
        <f>IF(A195=0,"",IF('Cumulative Volumes Metric'!$AR$17=FALSE,M195,L195))</f>
        <v/>
      </c>
      <c r="L195" s="30" t="str">
        <f t="shared" si="47"/>
        <v/>
      </c>
      <c r="M195" s="30" t="str">
        <f t="shared" si="48"/>
        <v/>
      </c>
      <c r="N195" s="30" t="str">
        <f>IF(($E$8/25.4)+45+($E$9/25.4)&gt;989,"FALSE",IF(A195="","",IF('Cumulative Volumes Metric'!$AR$17=FALSE,P195,O195)))</f>
        <v/>
      </c>
      <c r="O195" s="30" t="str">
        <f t="shared" si="49"/>
        <v/>
      </c>
      <c r="P195" s="30" t="str">
        <f>IF(A195=0,"",IF('Cumulative Volumes Metric'!$AR$17=FALSE,(U195*$E$4)+(V195*$E$5),O195))</f>
        <v/>
      </c>
      <c r="Q195" s="30" t="str">
        <f>IF(A195=0,"",(((25.4/1000)*'Metric Data'!$AC$4*'Metric Data'!$AC$5)-D195)*($E$6/100))</f>
        <v/>
      </c>
      <c r="R195" s="30" t="str">
        <f t="shared" si="50"/>
        <v/>
      </c>
      <c r="S195" s="30" t="str">
        <f>IF(A195=0,"",(((25.4/1000)*'Metric Data'!$AC$5*'Metric Data'!$AC$7)-E195)*($E$6/100))</f>
        <v/>
      </c>
      <c r="T195" s="30" t="str">
        <f t="shared" si="51"/>
        <v/>
      </c>
      <c r="U195" s="30" t="str">
        <f t="shared" si="52"/>
        <v/>
      </c>
      <c r="V195" s="30" t="str">
        <f t="shared" si="53"/>
        <v/>
      </c>
      <c r="W195" s="30" t="str">
        <f t="shared" si="54"/>
        <v/>
      </c>
    </row>
    <row r="196" spans="1:23" x14ac:dyDescent="0.2">
      <c r="A196" s="34">
        <f t="shared" si="41"/>
        <v>0</v>
      </c>
      <c r="B196" s="34">
        <v>183</v>
      </c>
      <c r="C196" s="34">
        <f t="shared" si="42"/>
        <v>0</v>
      </c>
      <c r="D196" s="30" t="str">
        <f>IF(A196=0,"",IF('Metric Data'!AG185&gt;=1, INDEX(Metric_Incremental[], MATCH('Metric Data'!AG185, Metric_Incremental[Height], 1), MATCH('Cumulative Volumes Metric'!$F$4, Metric_Incremental[#Headers], 0)), 0))</f>
        <v/>
      </c>
      <c r="E196" s="80" t="str">
        <f>IF(A196=0,"",IF('Metric Data'!AG185&gt;=1, INDEX(Metric_Incremental[], MATCH('Metric Data'!AG185, Metric_Incremental[Height], 1), MATCH('Cumulative Volumes Metric'!$F$4 &amp; "EC", Metric_Incremental[#Headers], 0)), 0))</f>
        <v/>
      </c>
      <c r="F196" s="30" t="str">
        <f t="shared" si="43"/>
        <v/>
      </c>
      <c r="G196" s="30" t="str">
        <f t="shared" si="44"/>
        <v/>
      </c>
      <c r="H196" s="30" t="str">
        <f>IF(A196=0,"",IF('Cumulative Volumes Metric'!$AR$17=FALSE,J196,I196))</f>
        <v/>
      </c>
      <c r="I196" s="30" t="str">
        <f t="shared" si="45"/>
        <v/>
      </c>
      <c r="J196" s="30" t="str">
        <f t="shared" si="46"/>
        <v/>
      </c>
      <c r="K196" s="30" t="str">
        <f>IF(A196=0,"",IF('Cumulative Volumes Metric'!$AR$17=FALSE,M196,L196))</f>
        <v/>
      </c>
      <c r="L196" s="30" t="str">
        <f t="shared" si="47"/>
        <v/>
      </c>
      <c r="M196" s="30" t="str">
        <f t="shared" si="48"/>
        <v/>
      </c>
      <c r="N196" s="30" t="str">
        <f>IF(($E$8/25.4)+45+($E$9/25.4)&gt;989,"FALSE",IF(A196="","",IF('Cumulative Volumes Metric'!$AR$17=FALSE,P196,O196)))</f>
        <v/>
      </c>
      <c r="O196" s="30" t="str">
        <f t="shared" si="49"/>
        <v/>
      </c>
      <c r="P196" s="30" t="str">
        <f>IF(A196=0,"",IF('Cumulative Volumes Metric'!$AR$17=FALSE,(U196*$E$4)+(V196*$E$5),O196))</f>
        <v/>
      </c>
      <c r="Q196" s="30" t="str">
        <f>IF(A196=0,"",(((25.4/1000)*'Metric Data'!$AC$4*'Metric Data'!$AC$5)-D196)*($E$6/100))</f>
        <v/>
      </c>
      <c r="R196" s="30" t="str">
        <f t="shared" si="50"/>
        <v/>
      </c>
      <c r="S196" s="30" t="str">
        <f>IF(A196=0,"",(((25.4/1000)*'Metric Data'!$AC$5*'Metric Data'!$AC$7)-E196)*($E$6/100))</f>
        <v/>
      </c>
      <c r="T196" s="30" t="str">
        <f t="shared" si="51"/>
        <v/>
      </c>
      <c r="U196" s="30" t="str">
        <f t="shared" si="52"/>
        <v/>
      </c>
      <c r="V196" s="30" t="str">
        <f t="shared" si="53"/>
        <v/>
      </c>
      <c r="W196" s="30" t="str">
        <f t="shared" si="54"/>
        <v/>
      </c>
    </row>
    <row r="197" spans="1:23" x14ac:dyDescent="0.2">
      <c r="A197" s="34">
        <f t="shared" si="41"/>
        <v>0</v>
      </c>
      <c r="B197" s="34">
        <v>184</v>
      </c>
      <c r="C197" s="34">
        <f t="shared" si="42"/>
        <v>0</v>
      </c>
      <c r="D197" s="30" t="str">
        <f>IF(A197=0,"",IF('Metric Data'!AG186&gt;=1, INDEX(Metric_Incremental[], MATCH('Metric Data'!AG186, Metric_Incremental[Height], 1), MATCH('Cumulative Volumes Metric'!$F$4, Metric_Incremental[#Headers], 0)), 0))</f>
        <v/>
      </c>
      <c r="E197" s="80" t="str">
        <f>IF(A197=0,"",IF('Metric Data'!AG186&gt;=1, INDEX(Metric_Incremental[], MATCH('Metric Data'!AG186, Metric_Incremental[Height], 1), MATCH('Cumulative Volumes Metric'!$F$4 &amp; "EC", Metric_Incremental[#Headers], 0)), 0))</f>
        <v/>
      </c>
      <c r="F197" s="30" t="str">
        <f t="shared" si="43"/>
        <v/>
      </c>
      <c r="G197" s="30" t="str">
        <f t="shared" si="44"/>
        <v/>
      </c>
      <c r="H197" s="30" t="str">
        <f>IF(A197=0,"",IF('Cumulative Volumes Metric'!$AR$17=FALSE,J197,I197))</f>
        <v/>
      </c>
      <c r="I197" s="30" t="str">
        <f t="shared" si="45"/>
        <v/>
      </c>
      <c r="J197" s="30" t="str">
        <f t="shared" si="46"/>
        <v/>
      </c>
      <c r="K197" s="30" t="str">
        <f>IF(A197=0,"",IF('Cumulative Volumes Metric'!$AR$17=FALSE,M197,L197))</f>
        <v/>
      </c>
      <c r="L197" s="30" t="str">
        <f t="shared" si="47"/>
        <v/>
      </c>
      <c r="M197" s="30" t="str">
        <f t="shared" si="48"/>
        <v/>
      </c>
      <c r="N197" s="30" t="str">
        <f>IF(($E$8/25.4)+45+($E$9/25.4)&gt;989,"FALSE",IF(A197="","",IF('Cumulative Volumes Metric'!$AR$17=FALSE,P197,O197)))</f>
        <v/>
      </c>
      <c r="O197" s="30" t="str">
        <f t="shared" si="49"/>
        <v/>
      </c>
      <c r="P197" s="30" t="str">
        <f>IF(A197=0,"",IF('Cumulative Volumes Metric'!$AR$17=FALSE,(U197*$E$4)+(V197*$E$5),O197))</f>
        <v/>
      </c>
      <c r="Q197" s="30" t="str">
        <f>IF(A197=0,"",(((25.4/1000)*'Metric Data'!$AC$4*'Metric Data'!$AC$5)-D197)*($E$6/100))</f>
        <v/>
      </c>
      <c r="R197" s="30" t="str">
        <f t="shared" si="50"/>
        <v/>
      </c>
      <c r="S197" s="30" t="str">
        <f>IF(A197=0,"",(((25.4/1000)*'Metric Data'!$AC$5*'Metric Data'!$AC$7)-E197)*($E$6/100))</f>
        <v/>
      </c>
      <c r="T197" s="30" t="str">
        <f t="shared" si="51"/>
        <v/>
      </c>
      <c r="U197" s="30" t="str">
        <f t="shared" si="52"/>
        <v/>
      </c>
      <c r="V197" s="30" t="str">
        <f t="shared" si="53"/>
        <v/>
      </c>
      <c r="W197" s="30" t="str">
        <f t="shared" si="54"/>
        <v/>
      </c>
    </row>
    <row r="198" spans="1:23" x14ac:dyDescent="0.2">
      <c r="A198" s="34">
        <f t="shared" si="41"/>
        <v>0</v>
      </c>
      <c r="B198" s="34">
        <v>185</v>
      </c>
      <c r="C198" s="34">
        <f t="shared" si="42"/>
        <v>0</v>
      </c>
      <c r="D198" s="30" t="str">
        <f>IF(A198=0,"",IF('Metric Data'!AG187&gt;=1, INDEX(Metric_Incremental[], MATCH('Metric Data'!AG187, Metric_Incremental[Height], 1), MATCH('Cumulative Volumes Metric'!$F$4, Metric_Incremental[#Headers], 0)), 0))</f>
        <v/>
      </c>
      <c r="E198" s="80" t="str">
        <f>IF(A198=0,"",IF('Metric Data'!AG187&gt;=1, INDEX(Metric_Incremental[], MATCH('Metric Data'!AG187, Metric_Incremental[Height], 1), MATCH('Cumulative Volumes Metric'!$F$4 &amp; "EC", Metric_Incremental[#Headers], 0)), 0))</f>
        <v/>
      </c>
      <c r="F198" s="30" t="str">
        <f t="shared" si="43"/>
        <v/>
      </c>
      <c r="G198" s="30" t="str">
        <f t="shared" si="44"/>
        <v/>
      </c>
      <c r="H198" s="30" t="str">
        <f>IF(A198=0,"",IF('Cumulative Volumes Metric'!$AR$17=FALSE,J198,I198))</f>
        <v/>
      </c>
      <c r="I198" s="30" t="str">
        <f t="shared" si="45"/>
        <v/>
      </c>
      <c r="J198" s="30" t="str">
        <f t="shared" si="46"/>
        <v/>
      </c>
      <c r="K198" s="30" t="str">
        <f>IF(A198=0,"",IF('Cumulative Volumes Metric'!$AR$17=FALSE,M198,L198))</f>
        <v/>
      </c>
      <c r="L198" s="30" t="str">
        <f t="shared" si="47"/>
        <v/>
      </c>
      <c r="M198" s="30" t="str">
        <f t="shared" si="48"/>
        <v/>
      </c>
      <c r="N198" s="30" t="str">
        <f>IF(($E$8/25.4)+45+($E$9/25.4)&gt;989,"FALSE",IF(A198="","",IF('Cumulative Volumes Metric'!$AR$17=FALSE,P198,O198)))</f>
        <v/>
      </c>
      <c r="O198" s="30" t="str">
        <f t="shared" si="49"/>
        <v/>
      </c>
      <c r="P198" s="30" t="str">
        <f>IF(A198=0,"",IF('Cumulative Volumes Metric'!$AR$17=FALSE,(U198*$E$4)+(V198*$E$5),O198))</f>
        <v/>
      </c>
      <c r="Q198" s="30" t="str">
        <f>IF(A198=0,"",(((25.4/1000)*'Metric Data'!$AC$4*'Metric Data'!$AC$5)-D198)*($E$6/100))</f>
        <v/>
      </c>
      <c r="R198" s="30" t="str">
        <f t="shared" si="50"/>
        <v/>
      </c>
      <c r="S198" s="30" t="str">
        <f>IF(A198=0,"",(((25.4/1000)*'Metric Data'!$AC$5*'Metric Data'!$AC$7)-E198)*($E$6/100))</f>
        <v/>
      </c>
      <c r="T198" s="30" t="str">
        <f t="shared" si="51"/>
        <v/>
      </c>
      <c r="U198" s="30" t="str">
        <f t="shared" si="52"/>
        <v/>
      </c>
      <c r="V198" s="30" t="str">
        <f t="shared" si="53"/>
        <v/>
      </c>
      <c r="W198" s="30" t="str">
        <f t="shared" si="54"/>
        <v/>
      </c>
    </row>
    <row r="199" spans="1:23" x14ac:dyDescent="0.2">
      <c r="A199" s="34">
        <f t="shared" si="41"/>
        <v>0</v>
      </c>
      <c r="B199" s="34">
        <v>186</v>
      </c>
      <c r="C199" s="34">
        <f t="shared" si="42"/>
        <v>0</v>
      </c>
      <c r="D199" s="30" t="str">
        <f>IF(A199=0,"",IF('Metric Data'!AG188&gt;=1, INDEX(Metric_Incremental[], MATCH('Metric Data'!AG188, Metric_Incremental[Height], 1), MATCH('Cumulative Volumes Metric'!$F$4, Metric_Incremental[#Headers], 0)), 0))</f>
        <v/>
      </c>
      <c r="E199" s="80" t="str">
        <f>IF(A199=0,"",IF('Metric Data'!AG188&gt;=1, INDEX(Metric_Incremental[], MATCH('Metric Data'!AG188, Metric_Incremental[Height], 1), MATCH('Cumulative Volumes Metric'!$F$4 &amp; "EC", Metric_Incremental[#Headers], 0)), 0))</f>
        <v/>
      </c>
      <c r="F199" s="30" t="str">
        <f t="shared" si="43"/>
        <v/>
      </c>
      <c r="G199" s="30" t="str">
        <f t="shared" si="44"/>
        <v/>
      </c>
      <c r="H199" s="30" t="str">
        <f>IF(A199=0,"",IF('Cumulative Volumes Metric'!$AR$17=FALSE,J199,I199))</f>
        <v/>
      </c>
      <c r="I199" s="30" t="str">
        <f t="shared" si="45"/>
        <v/>
      </c>
      <c r="J199" s="30" t="str">
        <f t="shared" si="46"/>
        <v/>
      </c>
      <c r="K199" s="30" t="str">
        <f>IF(A199=0,"",IF('Cumulative Volumes Metric'!$AR$17=FALSE,M199,L199))</f>
        <v/>
      </c>
      <c r="L199" s="30" t="str">
        <f t="shared" si="47"/>
        <v/>
      </c>
      <c r="M199" s="30" t="str">
        <f t="shared" si="48"/>
        <v/>
      </c>
      <c r="N199" s="30" t="str">
        <f>IF(($E$8/25.4)+45+($E$9/25.4)&gt;989,"FALSE",IF(A199="","",IF('Cumulative Volumes Metric'!$AR$17=FALSE,P199,O199)))</f>
        <v/>
      </c>
      <c r="O199" s="30" t="str">
        <f t="shared" si="49"/>
        <v/>
      </c>
      <c r="P199" s="30" t="str">
        <f>IF(A199=0,"",IF('Cumulative Volumes Metric'!$AR$17=FALSE,(U199*$E$4)+(V199*$E$5),O199))</f>
        <v/>
      </c>
      <c r="Q199" s="30" t="str">
        <f>IF(A199=0,"",(((25.4/1000)*'Metric Data'!$AC$4*'Metric Data'!$AC$5)-D199)*($E$6/100))</f>
        <v/>
      </c>
      <c r="R199" s="30" t="str">
        <f t="shared" si="50"/>
        <v/>
      </c>
      <c r="S199" s="30" t="str">
        <f>IF(A199=0,"",(((25.4/1000)*'Metric Data'!$AC$5*'Metric Data'!$AC$7)-E199)*($E$6/100))</f>
        <v/>
      </c>
      <c r="T199" s="30" t="str">
        <f t="shared" si="51"/>
        <v/>
      </c>
      <c r="U199" s="30" t="str">
        <f t="shared" si="52"/>
        <v/>
      </c>
      <c r="V199" s="30" t="str">
        <f t="shared" si="53"/>
        <v/>
      </c>
      <c r="W199" s="30" t="str">
        <f t="shared" si="54"/>
        <v/>
      </c>
    </row>
    <row r="200" spans="1:23" x14ac:dyDescent="0.2">
      <c r="A200" s="34">
        <f t="shared" si="41"/>
        <v>0</v>
      </c>
      <c r="B200" s="34">
        <v>187</v>
      </c>
      <c r="C200" s="34">
        <f t="shared" si="42"/>
        <v>0</v>
      </c>
      <c r="D200" s="30" t="str">
        <f>IF(A200=0,"",IF('Metric Data'!AG189&gt;=1, INDEX(Metric_Incremental[], MATCH('Metric Data'!AG189, Metric_Incremental[Height], 1), MATCH('Cumulative Volumes Metric'!$F$4, Metric_Incremental[#Headers], 0)), 0))</f>
        <v/>
      </c>
      <c r="E200" s="80" t="str">
        <f>IF(A200=0,"",IF('Metric Data'!AG189&gt;=1, INDEX(Metric_Incremental[], MATCH('Metric Data'!AG189, Metric_Incremental[Height], 1), MATCH('Cumulative Volumes Metric'!$F$4 &amp; "EC", Metric_Incremental[#Headers], 0)), 0))</f>
        <v/>
      </c>
      <c r="F200" s="30" t="str">
        <f t="shared" si="43"/>
        <v/>
      </c>
      <c r="G200" s="30" t="str">
        <f t="shared" si="44"/>
        <v/>
      </c>
      <c r="H200" s="30" t="str">
        <f>IF(A200=0,"",IF('Cumulative Volumes Metric'!$AR$17=FALSE,J200,I200))</f>
        <v/>
      </c>
      <c r="I200" s="30" t="str">
        <f t="shared" si="45"/>
        <v/>
      </c>
      <c r="J200" s="30" t="str">
        <f t="shared" si="46"/>
        <v/>
      </c>
      <c r="K200" s="30" t="str">
        <f>IF(A200=0,"",IF('Cumulative Volumes Metric'!$AR$17=FALSE,M200,L200))</f>
        <v/>
      </c>
      <c r="L200" s="30" t="str">
        <f t="shared" si="47"/>
        <v/>
      </c>
      <c r="M200" s="30" t="str">
        <f t="shared" si="48"/>
        <v/>
      </c>
      <c r="N200" s="30" t="str">
        <f>IF(($E$8/25.4)+45+($E$9/25.4)&gt;989,"FALSE",IF(A200="","",IF('Cumulative Volumes Metric'!$AR$17=FALSE,P200,O200)))</f>
        <v/>
      </c>
      <c r="O200" s="30" t="str">
        <f t="shared" si="49"/>
        <v/>
      </c>
      <c r="P200" s="30" t="str">
        <f>IF(A200=0,"",IF('Cumulative Volumes Metric'!$AR$17=FALSE,(U200*$E$4)+(V200*$E$5),O200))</f>
        <v/>
      </c>
      <c r="Q200" s="30" t="str">
        <f>IF(A200=0,"",(((25.4/1000)*'Metric Data'!$AC$4*'Metric Data'!$AC$5)-D200)*($E$6/100))</f>
        <v/>
      </c>
      <c r="R200" s="30" t="str">
        <f t="shared" si="50"/>
        <v/>
      </c>
      <c r="S200" s="30" t="str">
        <f>IF(A200=0,"",(((25.4/1000)*'Metric Data'!$AC$5*'Metric Data'!$AC$7)-E200)*($E$6/100))</f>
        <v/>
      </c>
      <c r="T200" s="30" t="str">
        <f t="shared" si="51"/>
        <v/>
      </c>
      <c r="U200" s="30" t="str">
        <f t="shared" si="52"/>
        <v/>
      </c>
      <c r="V200" s="30" t="str">
        <f t="shared" si="53"/>
        <v/>
      </c>
      <c r="W200" s="30" t="str">
        <f t="shared" si="54"/>
        <v/>
      </c>
    </row>
    <row r="201" spans="1:23" x14ac:dyDescent="0.2">
      <c r="A201" s="34">
        <f t="shared" si="41"/>
        <v>0</v>
      </c>
      <c r="B201" s="34">
        <v>188</v>
      </c>
      <c r="C201" s="34">
        <f t="shared" si="42"/>
        <v>0</v>
      </c>
      <c r="D201" s="30" t="str">
        <f>IF(A201=0,"",IF('Metric Data'!AG190&gt;=1, INDEX(Metric_Incremental[], MATCH('Metric Data'!AG190, Metric_Incremental[Height], 1), MATCH('Cumulative Volumes Metric'!$F$4, Metric_Incremental[#Headers], 0)), 0))</f>
        <v/>
      </c>
      <c r="E201" s="80" t="str">
        <f>IF(A201=0,"",IF('Metric Data'!AG190&gt;=1, INDEX(Metric_Incremental[], MATCH('Metric Data'!AG190, Metric_Incremental[Height], 1), MATCH('Cumulative Volumes Metric'!$F$4 &amp; "EC", Metric_Incremental[#Headers], 0)), 0))</f>
        <v/>
      </c>
      <c r="F201" s="30" t="str">
        <f t="shared" si="43"/>
        <v/>
      </c>
      <c r="G201" s="30" t="str">
        <f t="shared" si="44"/>
        <v/>
      </c>
      <c r="H201" s="30" t="str">
        <f>IF(A201=0,"",IF('Cumulative Volumes Metric'!$AR$17=FALSE,J201,I201))</f>
        <v/>
      </c>
      <c r="I201" s="30" t="str">
        <f t="shared" si="45"/>
        <v/>
      </c>
      <c r="J201" s="30" t="str">
        <f t="shared" si="46"/>
        <v/>
      </c>
      <c r="K201" s="30" t="str">
        <f>IF(A201=0,"",IF('Cumulative Volumes Metric'!$AR$17=FALSE,M201,L201))</f>
        <v/>
      </c>
      <c r="L201" s="30" t="str">
        <f t="shared" si="47"/>
        <v/>
      </c>
      <c r="M201" s="30" t="str">
        <f t="shared" si="48"/>
        <v/>
      </c>
      <c r="N201" s="30" t="str">
        <f>IF(($E$8/25.4)+45+($E$9/25.4)&gt;989,"FALSE",IF(A201="","",IF('Cumulative Volumes Metric'!$AR$17=FALSE,P201,O201)))</f>
        <v/>
      </c>
      <c r="O201" s="30" t="str">
        <f t="shared" si="49"/>
        <v/>
      </c>
      <c r="P201" s="30" t="str">
        <f>IF(A201=0,"",IF('Cumulative Volumes Metric'!$AR$17=FALSE,(U201*$E$4)+(V201*$E$5),O201))</f>
        <v/>
      </c>
      <c r="Q201" s="30" t="str">
        <f>IF(A201=0,"",(((25.4/1000)*'Metric Data'!$AC$4*'Metric Data'!$AC$5)-D201)*($E$6/100))</f>
        <v/>
      </c>
      <c r="R201" s="30" t="str">
        <f t="shared" si="50"/>
        <v/>
      </c>
      <c r="S201" s="30" t="str">
        <f>IF(A201=0,"",(((25.4/1000)*'Metric Data'!$AC$5*'Metric Data'!$AC$7)-E201)*($E$6/100))</f>
        <v/>
      </c>
      <c r="T201" s="30" t="str">
        <f t="shared" si="51"/>
        <v/>
      </c>
      <c r="U201" s="30" t="str">
        <f t="shared" si="52"/>
        <v/>
      </c>
      <c r="V201" s="30" t="str">
        <f t="shared" si="53"/>
        <v/>
      </c>
      <c r="W201" s="30" t="str">
        <f t="shared" si="54"/>
        <v/>
      </c>
    </row>
    <row r="202" spans="1:23" x14ac:dyDescent="0.2">
      <c r="A202" s="34">
        <f t="shared" si="41"/>
        <v>0</v>
      </c>
      <c r="B202" s="34">
        <v>189</v>
      </c>
      <c r="C202" s="34">
        <f t="shared" si="42"/>
        <v>0</v>
      </c>
      <c r="D202" s="30" t="str">
        <f>IF(A202=0,"",IF('Metric Data'!AG191&gt;=1, INDEX(Metric_Incremental[], MATCH('Metric Data'!AG191, Metric_Incremental[Height], 1), MATCH('Cumulative Volumes Metric'!$F$4, Metric_Incremental[#Headers], 0)), 0))</f>
        <v/>
      </c>
      <c r="E202" s="80" t="str">
        <f>IF(A202=0,"",IF('Metric Data'!AG191&gt;=1, INDEX(Metric_Incremental[], MATCH('Metric Data'!AG191, Metric_Incremental[Height], 1), MATCH('Cumulative Volumes Metric'!$F$4 &amp; "EC", Metric_Incremental[#Headers], 0)), 0))</f>
        <v/>
      </c>
      <c r="F202" s="30" t="str">
        <f t="shared" si="43"/>
        <v/>
      </c>
      <c r="G202" s="30" t="str">
        <f t="shared" si="44"/>
        <v/>
      </c>
      <c r="H202" s="30" t="str">
        <f>IF(A202=0,"",IF('Cumulative Volumes Metric'!$AR$17=FALSE,J202,I202))</f>
        <v/>
      </c>
      <c r="I202" s="30" t="str">
        <f t="shared" si="45"/>
        <v/>
      </c>
      <c r="J202" s="30" t="str">
        <f t="shared" si="46"/>
        <v/>
      </c>
      <c r="K202" s="30" t="str">
        <f>IF(A202=0,"",IF('Cumulative Volumes Metric'!$AR$17=FALSE,M202,L202))</f>
        <v/>
      </c>
      <c r="L202" s="30" t="str">
        <f t="shared" si="47"/>
        <v/>
      </c>
      <c r="M202" s="30" t="str">
        <f t="shared" si="48"/>
        <v/>
      </c>
      <c r="N202" s="30" t="str">
        <f>IF(($E$8/25.4)+45+($E$9/25.4)&gt;989,"FALSE",IF(A202="","",IF('Cumulative Volumes Metric'!$AR$17=FALSE,P202,O202)))</f>
        <v/>
      </c>
      <c r="O202" s="30" t="str">
        <f t="shared" si="49"/>
        <v/>
      </c>
      <c r="P202" s="30" t="str">
        <f>IF(A202=0,"",IF('Cumulative Volumes Metric'!$AR$17=FALSE,(U202*$E$4)+(V202*$E$5),O202))</f>
        <v/>
      </c>
      <c r="Q202" s="30" t="str">
        <f>IF(A202=0,"",(((25.4/1000)*'Metric Data'!$AC$4*'Metric Data'!$AC$5)-D202)*($E$6/100))</f>
        <v/>
      </c>
      <c r="R202" s="30" t="str">
        <f t="shared" si="50"/>
        <v/>
      </c>
      <c r="S202" s="30" t="str">
        <f>IF(A202=0,"",(((25.4/1000)*'Metric Data'!$AC$5*'Metric Data'!$AC$7)-E202)*($E$6/100))</f>
        <v/>
      </c>
      <c r="T202" s="30" t="str">
        <f t="shared" si="51"/>
        <v/>
      </c>
      <c r="U202" s="30" t="str">
        <f t="shared" si="52"/>
        <v/>
      </c>
      <c r="V202" s="30" t="str">
        <f t="shared" si="53"/>
        <v/>
      </c>
      <c r="W202" s="30" t="str">
        <f t="shared" si="54"/>
        <v/>
      </c>
    </row>
    <row r="203" spans="1:23" x14ac:dyDescent="0.2">
      <c r="A203" s="34">
        <f t="shared" si="41"/>
        <v>0</v>
      </c>
      <c r="B203" s="34">
        <v>190</v>
      </c>
      <c r="C203" s="34">
        <f t="shared" si="42"/>
        <v>0</v>
      </c>
      <c r="D203" s="30" t="str">
        <f>IF(A203=0,"",IF('Metric Data'!AG192&gt;=1, INDEX(Metric_Incremental[], MATCH('Metric Data'!AG192, Metric_Incremental[Height], 1), MATCH('Cumulative Volumes Metric'!$F$4, Metric_Incremental[#Headers], 0)), 0))</f>
        <v/>
      </c>
      <c r="E203" s="80" t="str">
        <f>IF(A203=0,"",IF('Metric Data'!AG192&gt;=1, INDEX(Metric_Incremental[], MATCH('Metric Data'!AG192, Metric_Incremental[Height], 1), MATCH('Cumulative Volumes Metric'!$F$4 &amp; "EC", Metric_Incremental[#Headers], 0)), 0))</f>
        <v/>
      </c>
      <c r="F203" s="30" t="str">
        <f t="shared" si="43"/>
        <v/>
      </c>
      <c r="G203" s="30" t="str">
        <f t="shared" si="44"/>
        <v/>
      </c>
      <c r="H203" s="30" t="str">
        <f>IF(A203=0,"",IF('Cumulative Volumes Metric'!$AR$17=FALSE,J203,I203))</f>
        <v/>
      </c>
      <c r="I203" s="30" t="str">
        <f t="shared" si="45"/>
        <v/>
      </c>
      <c r="J203" s="30" t="str">
        <f t="shared" si="46"/>
        <v/>
      </c>
      <c r="K203" s="30" t="str">
        <f>IF(A203=0,"",IF('Cumulative Volumes Metric'!$AR$17=FALSE,M203,L203))</f>
        <v/>
      </c>
      <c r="L203" s="30" t="str">
        <f t="shared" si="47"/>
        <v/>
      </c>
      <c r="M203" s="30" t="str">
        <f t="shared" si="48"/>
        <v/>
      </c>
      <c r="N203" s="30" t="str">
        <f>IF(($E$8/25.4)+45+($E$9/25.4)&gt;989,"FALSE",IF(A203="","",IF('Cumulative Volumes Metric'!$AR$17=FALSE,P203,O203)))</f>
        <v/>
      </c>
      <c r="O203" s="30" t="str">
        <f t="shared" si="49"/>
        <v/>
      </c>
      <c r="P203" s="30" t="str">
        <f>IF(A203=0,"",IF('Cumulative Volumes Metric'!$AR$17=FALSE,(U203*$E$4)+(V203*$E$5),O203))</f>
        <v/>
      </c>
      <c r="Q203" s="30" t="str">
        <f>IF(A203=0,"",(((25.4/1000)*'Metric Data'!$AC$4*'Metric Data'!$AC$5)-D203)*($E$6/100))</f>
        <v/>
      </c>
      <c r="R203" s="30" t="str">
        <f t="shared" si="50"/>
        <v/>
      </c>
      <c r="S203" s="30" t="str">
        <f>IF(A203=0,"",(((25.4/1000)*'Metric Data'!$AC$5*'Metric Data'!$AC$7)-E203)*($E$6/100))</f>
        <v/>
      </c>
      <c r="T203" s="30" t="str">
        <f t="shared" si="51"/>
        <v/>
      </c>
      <c r="U203" s="30" t="str">
        <f t="shared" si="52"/>
        <v/>
      </c>
      <c r="V203" s="30" t="str">
        <f t="shared" si="53"/>
        <v/>
      </c>
      <c r="W203" s="30" t="str">
        <f t="shared" si="54"/>
        <v/>
      </c>
    </row>
    <row r="204" spans="1:23" x14ac:dyDescent="0.2">
      <c r="A204" s="34">
        <f t="shared" si="41"/>
        <v>0</v>
      </c>
      <c r="B204" s="34">
        <v>191</v>
      </c>
      <c r="C204" s="34">
        <f t="shared" si="42"/>
        <v>0</v>
      </c>
      <c r="D204" s="30" t="str">
        <f>IF(A204=0,"",IF('Metric Data'!AG193&gt;=1, INDEX(Metric_Incremental[], MATCH('Metric Data'!AG193, Metric_Incremental[Height], 1), MATCH('Cumulative Volumes Metric'!$F$4, Metric_Incremental[#Headers], 0)), 0))</f>
        <v/>
      </c>
      <c r="E204" s="80" t="str">
        <f>IF(A204=0,"",IF('Metric Data'!AG193&gt;=1, INDEX(Metric_Incremental[], MATCH('Metric Data'!AG193, Metric_Incremental[Height], 1), MATCH('Cumulative Volumes Metric'!$F$4 &amp; "EC", Metric_Incremental[#Headers], 0)), 0))</f>
        <v/>
      </c>
      <c r="F204" s="30" t="str">
        <f t="shared" si="43"/>
        <v/>
      </c>
      <c r="G204" s="30" t="str">
        <f t="shared" si="44"/>
        <v/>
      </c>
      <c r="H204" s="30" t="str">
        <f>IF(A204=0,"",IF('Cumulative Volumes Metric'!$AR$17=FALSE,J204,I204))</f>
        <v/>
      </c>
      <c r="I204" s="30" t="str">
        <f t="shared" si="45"/>
        <v/>
      </c>
      <c r="J204" s="30" t="str">
        <f t="shared" si="46"/>
        <v/>
      </c>
      <c r="K204" s="30" t="str">
        <f>IF(A204=0,"",IF('Cumulative Volumes Metric'!$AR$17=FALSE,M204,L204))</f>
        <v/>
      </c>
      <c r="L204" s="30" t="str">
        <f t="shared" si="47"/>
        <v/>
      </c>
      <c r="M204" s="30" t="str">
        <f t="shared" si="48"/>
        <v/>
      </c>
      <c r="N204" s="30" t="str">
        <f>IF(($E$8/25.4)+45+($E$9/25.4)&gt;989,"FALSE",IF(A204="","",IF('Cumulative Volumes Metric'!$AR$17=FALSE,P204,O204)))</f>
        <v/>
      </c>
      <c r="O204" s="30" t="str">
        <f t="shared" si="49"/>
        <v/>
      </c>
      <c r="P204" s="30" t="str">
        <f>IF(A204=0,"",IF('Cumulative Volumes Metric'!$AR$17=FALSE,(U204*$E$4)+(V204*$E$5),O204))</f>
        <v/>
      </c>
      <c r="Q204" s="30" t="str">
        <f>IF(A204=0,"",(((25.4/1000)*'Metric Data'!$AC$4*'Metric Data'!$AC$5)-D204)*($E$6/100))</f>
        <v/>
      </c>
      <c r="R204" s="30" t="str">
        <f t="shared" si="50"/>
        <v/>
      </c>
      <c r="S204" s="30" t="str">
        <f>IF(A204=0,"",(((25.4/1000)*'Metric Data'!$AC$5*'Metric Data'!$AC$7)-E204)*($E$6/100))</f>
        <v/>
      </c>
      <c r="T204" s="30" t="str">
        <f t="shared" si="51"/>
        <v/>
      </c>
      <c r="U204" s="30" t="str">
        <f t="shared" si="52"/>
        <v/>
      </c>
      <c r="V204" s="30" t="str">
        <f t="shared" si="53"/>
        <v/>
      </c>
      <c r="W204" s="30" t="str">
        <f t="shared" si="54"/>
        <v/>
      </c>
    </row>
    <row r="205" spans="1:23" x14ac:dyDescent="0.2">
      <c r="A205" s="34">
        <f t="shared" si="41"/>
        <v>0</v>
      </c>
      <c r="B205" s="34">
        <v>192</v>
      </c>
      <c r="C205" s="34">
        <f t="shared" si="42"/>
        <v>0</v>
      </c>
      <c r="D205" s="30" t="str">
        <f>IF(A205=0,"",IF('Metric Data'!AG194&gt;=1, INDEX(Metric_Incremental[], MATCH('Metric Data'!AG194, Metric_Incremental[Height], 1), MATCH('Cumulative Volumes Metric'!$F$4, Metric_Incremental[#Headers], 0)), 0))</f>
        <v/>
      </c>
      <c r="E205" s="80" t="str">
        <f>IF(A205=0,"",IF('Metric Data'!AG194&gt;=1, INDEX(Metric_Incremental[], MATCH('Metric Data'!AG194, Metric_Incremental[Height], 1), MATCH('Cumulative Volumes Metric'!$F$4 &amp; "EC", Metric_Incremental[#Headers], 0)), 0))</f>
        <v/>
      </c>
      <c r="F205" s="30" t="str">
        <f t="shared" si="43"/>
        <v/>
      </c>
      <c r="G205" s="30" t="str">
        <f t="shared" si="44"/>
        <v/>
      </c>
      <c r="H205" s="30" t="str">
        <f>IF(A205=0,"",IF('Cumulative Volumes Metric'!$AR$17=FALSE,J205,I205))</f>
        <v/>
      </c>
      <c r="I205" s="30" t="str">
        <f t="shared" si="45"/>
        <v/>
      </c>
      <c r="J205" s="30" t="str">
        <f t="shared" si="46"/>
        <v/>
      </c>
      <c r="K205" s="30" t="str">
        <f>IF(A205=0,"",IF('Cumulative Volumes Metric'!$AR$17=FALSE,M205,L205))</f>
        <v/>
      </c>
      <c r="L205" s="30" t="str">
        <f t="shared" si="47"/>
        <v/>
      </c>
      <c r="M205" s="30" t="str">
        <f t="shared" si="48"/>
        <v/>
      </c>
      <c r="N205" s="30" t="str">
        <f>IF(($E$8/25.4)+45+($E$9/25.4)&gt;989,"FALSE",IF(A205="","",IF('Cumulative Volumes Metric'!$AR$17=FALSE,P205,O205)))</f>
        <v/>
      </c>
      <c r="O205" s="30" t="str">
        <f t="shared" si="49"/>
        <v/>
      </c>
      <c r="P205" s="30" t="str">
        <f>IF(A205=0,"",IF('Cumulative Volumes Metric'!$AR$17=FALSE,(U205*$E$4)+(V205*$E$5),O205))</f>
        <v/>
      </c>
      <c r="Q205" s="30" t="str">
        <f>IF(A205=0,"",(((25.4/1000)*'Metric Data'!$AC$4*'Metric Data'!$AC$5)-D205)*($E$6/100))</f>
        <v/>
      </c>
      <c r="R205" s="30" t="str">
        <f t="shared" si="50"/>
        <v/>
      </c>
      <c r="S205" s="30" t="str">
        <f>IF(A205=0,"",(((25.4/1000)*'Metric Data'!$AC$5*'Metric Data'!$AC$7)-E205)*($E$6/100))</f>
        <v/>
      </c>
      <c r="T205" s="30" t="str">
        <f t="shared" si="51"/>
        <v/>
      </c>
      <c r="U205" s="30" t="str">
        <f t="shared" si="52"/>
        <v/>
      </c>
      <c r="V205" s="30" t="str">
        <f t="shared" si="53"/>
        <v/>
      </c>
      <c r="W205" s="30" t="str">
        <f t="shared" si="54"/>
        <v/>
      </c>
    </row>
    <row r="206" spans="1:23" x14ac:dyDescent="0.2">
      <c r="A206" s="34">
        <f t="shared" si="41"/>
        <v>0</v>
      </c>
      <c r="B206" s="34">
        <v>193</v>
      </c>
      <c r="C206" s="34">
        <f t="shared" si="42"/>
        <v>0</v>
      </c>
      <c r="D206" s="30" t="str">
        <f>IF(A206=0,"",IF('Metric Data'!AG195&gt;=1, INDEX(Metric_Incremental[], MATCH('Metric Data'!AG195, Metric_Incremental[Height], 1), MATCH('Cumulative Volumes Metric'!$F$4, Metric_Incremental[#Headers], 0)), 0))</f>
        <v/>
      </c>
      <c r="E206" s="80" t="str">
        <f>IF(A206=0,"",IF('Metric Data'!AG195&gt;=1, INDEX(Metric_Incremental[], MATCH('Metric Data'!AG195, Metric_Incremental[Height], 1), MATCH('Cumulative Volumes Metric'!$F$4 &amp; "EC", Metric_Incremental[#Headers], 0)), 0))</f>
        <v/>
      </c>
      <c r="F206" s="30" t="str">
        <f t="shared" si="43"/>
        <v/>
      </c>
      <c r="G206" s="30" t="str">
        <f t="shared" si="44"/>
        <v/>
      </c>
      <c r="H206" s="30" t="str">
        <f>IF(A206=0,"",IF('Cumulative Volumes Metric'!$AR$17=FALSE,J206,I206))</f>
        <v/>
      </c>
      <c r="I206" s="30" t="str">
        <f t="shared" si="45"/>
        <v/>
      </c>
      <c r="J206" s="30" t="str">
        <f t="shared" si="46"/>
        <v/>
      </c>
      <c r="K206" s="30" t="str">
        <f>IF(A206=0,"",IF('Cumulative Volumes Metric'!$AR$17=FALSE,M206,L206))</f>
        <v/>
      </c>
      <c r="L206" s="30" t="str">
        <f t="shared" si="47"/>
        <v/>
      </c>
      <c r="M206" s="30" t="str">
        <f t="shared" si="48"/>
        <v/>
      </c>
      <c r="N206" s="30" t="str">
        <f>IF(($E$8/25.4)+45+($E$9/25.4)&gt;989,"FALSE",IF(A206="","",IF('Cumulative Volumes Metric'!$AR$17=FALSE,P206,O206)))</f>
        <v/>
      </c>
      <c r="O206" s="30" t="str">
        <f t="shared" si="49"/>
        <v/>
      </c>
      <c r="P206" s="30" t="str">
        <f>IF(A206=0,"",IF('Cumulative Volumes Metric'!$AR$17=FALSE,(U206*$E$4)+(V206*$E$5),O206))</f>
        <v/>
      </c>
      <c r="Q206" s="30" t="str">
        <f>IF(A206=0,"",(((25.4/1000)*'Metric Data'!$AC$4*'Metric Data'!$AC$5)-D206)*($E$6/100))</f>
        <v/>
      </c>
      <c r="R206" s="30" t="str">
        <f t="shared" si="50"/>
        <v/>
      </c>
      <c r="S206" s="30" t="str">
        <f>IF(A206=0,"",(((25.4/1000)*'Metric Data'!$AC$5*'Metric Data'!$AC$7)-E206)*($E$6/100))</f>
        <v/>
      </c>
      <c r="T206" s="30" t="str">
        <f t="shared" si="51"/>
        <v/>
      </c>
      <c r="U206" s="30" t="str">
        <f t="shared" si="52"/>
        <v/>
      </c>
      <c r="V206" s="30" t="str">
        <f t="shared" si="53"/>
        <v/>
      </c>
      <c r="W206" s="30" t="str">
        <f t="shared" si="54"/>
        <v/>
      </c>
    </row>
    <row r="207" spans="1:23" x14ac:dyDescent="0.2">
      <c r="A207" s="34">
        <f t="shared" ref="A207:A223" si="55">IF(A206=0,0,IF(A206=" ","",IF(A206-1&gt;0,A206-1,0)))</f>
        <v>0</v>
      </c>
      <c r="B207" s="34">
        <v>194</v>
      </c>
      <c r="C207" s="34">
        <f t="shared" si="42"/>
        <v>0</v>
      </c>
      <c r="D207" s="30" t="str">
        <f>IF(A207=0,"",IF('Metric Data'!AG196&gt;=1, INDEX(Metric_Incremental[], MATCH('Metric Data'!AG196, Metric_Incremental[Height], 1), MATCH('Cumulative Volumes Metric'!$F$4, Metric_Incremental[#Headers], 0)), 0))</f>
        <v/>
      </c>
      <c r="E207" s="80" t="str">
        <f>IF(A207=0,"",IF('Metric Data'!AG196&gt;=1, INDEX(Metric_Incremental[], MATCH('Metric Data'!AG196, Metric_Incremental[Height], 1), MATCH('Cumulative Volumes Metric'!$F$4 &amp; "EC", Metric_Incremental[#Headers], 0)), 0))</f>
        <v/>
      </c>
      <c r="F207" s="30" t="str">
        <f t="shared" si="43"/>
        <v/>
      </c>
      <c r="G207" s="30" t="str">
        <f t="shared" si="44"/>
        <v/>
      </c>
      <c r="H207" s="30" t="str">
        <f>IF(A207=0,"",IF('Cumulative Volumes Metric'!$AR$17=FALSE,J207,I207))</f>
        <v/>
      </c>
      <c r="I207" s="30" t="str">
        <f t="shared" si="45"/>
        <v/>
      </c>
      <c r="J207" s="30" t="str">
        <f t="shared" si="46"/>
        <v/>
      </c>
      <c r="K207" s="30" t="str">
        <f>IF(A207=0,"",IF('Cumulative Volumes Metric'!$AR$17=FALSE,M207,L207))</f>
        <v/>
      </c>
      <c r="L207" s="30" t="str">
        <f t="shared" si="47"/>
        <v/>
      </c>
      <c r="M207" s="30" t="str">
        <f t="shared" si="48"/>
        <v/>
      </c>
      <c r="N207" s="30" t="str">
        <f>IF(($E$8/25.4)+45+($E$9/25.4)&gt;989,"FALSE",IF(A207="","",IF('Cumulative Volumes Metric'!$AR$17=FALSE,P207,O207)))</f>
        <v/>
      </c>
      <c r="O207" s="30" t="str">
        <f t="shared" si="49"/>
        <v/>
      </c>
      <c r="P207" s="30" t="str">
        <f>IF(A207=0,"",IF('Cumulative Volumes Metric'!$AR$17=FALSE,(U207*$E$4)+(V207*$E$5),O207))</f>
        <v/>
      </c>
      <c r="Q207" s="30" t="str">
        <f>IF(A207=0,"",(((25.4/1000)*'Metric Data'!$AC$4*'Metric Data'!$AC$5)-D207)*($E$6/100))</f>
        <v/>
      </c>
      <c r="R207" s="30" t="str">
        <f t="shared" si="50"/>
        <v/>
      </c>
      <c r="S207" s="30" t="str">
        <f>IF(A207=0,"",(((25.4/1000)*'Metric Data'!$AC$5*'Metric Data'!$AC$7)-E207)*($E$6/100))</f>
        <v/>
      </c>
      <c r="T207" s="30" t="str">
        <f t="shared" si="51"/>
        <v/>
      </c>
      <c r="U207" s="30" t="str">
        <f t="shared" si="52"/>
        <v/>
      </c>
      <c r="V207" s="30" t="str">
        <f t="shared" si="53"/>
        <v/>
      </c>
      <c r="W207" s="30" t="str">
        <f t="shared" si="54"/>
        <v/>
      </c>
    </row>
    <row r="208" spans="1:23" x14ac:dyDescent="0.2">
      <c r="A208" s="34">
        <f t="shared" si="55"/>
        <v>0</v>
      </c>
      <c r="B208" s="34">
        <v>195</v>
      </c>
      <c r="C208" s="34">
        <f t="shared" si="42"/>
        <v>0</v>
      </c>
      <c r="D208" s="30" t="str">
        <f>IF(A208=0,"",IF('Metric Data'!AG197&gt;=1, INDEX(Metric_Incremental[], MATCH('Metric Data'!AG197, Metric_Incremental[Height], 1), MATCH('Cumulative Volumes Metric'!$F$4, Metric_Incremental[#Headers], 0)), 0))</f>
        <v/>
      </c>
      <c r="E208" s="80" t="str">
        <f>IF(A208=0,"",IF('Metric Data'!AG197&gt;=1, INDEX(Metric_Incremental[], MATCH('Metric Data'!AG197, Metric_Incremental[Height], 1), MATCH('Cumulative Volumes Metric'!$F$4 &amp; "EC", Metric_Incremental[#Headers], 0)), 0))</f>
        <v/>
      </c>
      <c r="F208" s="30" t="str">
        <f t="shared" si="43"/>
        <v/>
      </c>
      <c r="G208" s="30" t="str">
        <f t="shared" si="44"/>
        <v/>
      </c>
      <c r="H208" s="30" t="str">
        <f>IF(A208=0,"",IF('Cumulative Volumes Metric'!$AR$17=FALSE,J208,I208))</f>
        <v/>
      </c>
      <c r="I208" s="30" t="str">
        <f t="shared" si="45"/>
        <v/>
      </c>
      <c r="J208" s="30" t="str">
        <f t="shared" si="46"/>
        <v/>
      </c>
      <c r="K208" s="30" t="str">
        <f>IF(A208=0,"",IF('Cumulative Volumes Metric'!$AR$17=FALSE,M208,L208))</f>
        <v/>
      </c>
      <c r="L208" s="30" t="str">
        <f t="shared" si="47"/>
        <v/>
      </c>
      <c r="M208" s="30" t="str">
        <f t="shared" si="48"/>
        <v/>
      </c>
      <c r="N208" s="30" t="str">
        <f>IF(($E$8/25.4)+45+($E$9/25.4)&gt;989,"FALSE",IF(A208="","",IF('Cumulative Volumes Metric'!$AR$17=FALSE,P208,O208)))</f>
        <v/>
      </c>
      <c r="O208" s="30" t="str">
        <f t="shared" si="49"/>
        <v/>
      </c>
      <c r="P208" s="30" t="str">
        <f>IF(A208=0,"",IF('Cumulative Volumes Metric'!$AR$17=FALSE,(U208*$E$4)+(V208*$E$5),O208))</f>
        <v/>
      </c>
      <c r="Q208" s="30" t="str">
        <f>IF(A208=0,"",(((25.4/1000)*'Metric Data'!$AC$4*'Metric Data'!$AC$5)-D208)*($E$6/100))</f>
        <v/>
      </c>
      <c r="R208" s="30" t="str">
        <f t="shared" si="50"/>
        <v/>
      </c>
      <c r="S208" s="30" t="str">
        <f>IF(A208=0,"",(((25.4/1000)*'Metric Data'!$AC$5*'Metric Data'!$AC$7)-E208)*($E$6/100))</f>
        <v/>
      </c>
      <c r="T208" s="30" t="str">
        <f t="shared" si="51"/>
        <v/>
      </c>
      <c r="U208" s="30" t="str">
        <f t="shared" si="52"/>
        <v/>
      </c>
      <c r="V208" s="30" t="str">
        <f t="shared" si="53"/>
        <v/>
      </c>
      <c r="W208" s="30" t="str">
        <f t="shared" si="54"/>
        <v/>
      </c>
    </row>
    <row r="209" spans="1:23" x14ac:dyDescent="0.2">
      <c r="A209" s="34">
        <f t="shared" si="55"/>
        <v>0</v>
      </c>
      <c r="B209" s="34">
        <v>196</v>
      </c>
      <c r="C209" s="34">
        <f t="shared" si="42"/>
        <v>0</v>
      </c>
      <c r="D209" s="30" t="str">
        <f>IF(A209=0,"",IF('Metric Data'!AG198&gt;=1, INDEX(Metric_Incremental[], MATCH('Metric Data'!AG198, Metric_Incremental[Height], 1), MATCH('Cumulative Volumes Metric'!$F$4, Metric_Incremental[#Headers], 0)), 0))</f>
        <v/>
      </c>
      <c r="E209" s="80" t="str">
        <f>IF(A209=0,"",IF('Metric Data'!AG198&gt;=1, INDEX(Metric_Incremental[], MATCH('Metric Data'!AG198, Metric_Incremental[Height], 1), MATCH('Cumulative Volumes Metric'!$F$4 &amp; "EC", Metric_Incremental[#Headers], 0)), 0))</f>
        <v/>
      </c>
      <c r="F209" s="30" t="str">
        <f t="shared" si="43"/>
        <v/>
      </c>
      <c r="G209" s="30" t="str">
        <f t="shared" si="44"/>
        <v/>
      </c>
      <c r="H209" s="30" t="str">
        <f>IF(A209=0,"",IF('Cumulative Volumes Metric'!$AR$17=FALSE,J209,I209))</f>
        <v/>
      </c>
      <c r="I209" s="30" t="str">
        <f t="shared" si="45"/>
        <v/>
      </c>
      <c r="J209" s="30" t="str">
        <f t="shared" si="46"/>
        <v/>
      </c>
      <c r="K209" s="30" t="str">
        <f>IF(A209=0,"",IF('Cumulative Volumes Metric'!$AR$17=FALSE,M209,L209))</f>
        <v/>
      </c>
      <c r="L209" s="30" t="str">
        <f t="shared" si="47"/>
        <v/>
      </c>
      <c r="M209" s="30" t="str">
        <f t="shared" si="48"/>
        <v/>
      </c>
      <c r="N209" s="30" t="str">
        <f>IF(($E$8/25.4)+45+($E$9/25.4)&gt;989,"FALSE",IF(A209="","",IF('Cumulative Volumes Metric'!$AR$17=FALSE,P209,O209)))</f>
        <v/>
      </c>
      <c r="O209" s="30" t="str">
        <f t="shared" si="49"/>
        <v/>
      </c>
      <c r="P209" s="30" t="str">
        <f>IF(A209=0,"",IF('Cumulative Volumes Metric'!$AR$17=FALSE,(U209*$E$4)+(V209*$E$5),O209))</f>
        <v/>
      </c>
      <c r="Q209" s="30" t="str">
        <f>IF(A209=0,"",(((25.4/1000)*'Metric Data'!$AC$4*'Metric Data'!$AC$5)-D209)*($E$6/100))</f>
        <v/>
      </c>
      <c r="R209" s="30" t="str">
        <f t="shared" si="50"/>
        <v/>
      </c>
      <c r="S209" s="30" t="str">
        <f>IF(A209=0,"",(((25.4/1000)*'Metric Data'!$AC$5*'Metric Data'!$AC$7)-E209)*($E$6/100))</f>
        <v/>
      </c>
      <c r="T209" s="30" t="str">
        <f t="shared" si="51"/>
        <v/>
      </c>
      <c r="U209" s="30" t="str">
        <f t="shared" si="52"/>
        <v/>
      </c>
      <c r="V209" s="30" t="str">
        <f t="shared" si="53"/>
        <v/>
      </c>
      <c r="W209" s="30" t="str">
        <f t="shared" si="54"/>
        <v/>
      </c>
    </row>
    <row r="210" spans="1:23" x14ac:dyDescent="0.2">
      <c r="A210" s="34">
        <f t="shared" si="55"/>
        <v>0</v>
      </c>
      <c r="B210" s="34">
        <v>197</v>
      </c>
      <c r="C210" s="34">
        <f t="shared" si="42"/>
        <v>0</v>
      </c>
      <c r="D210" s="30" t="str">
        <f>IF(A210=0,"",IF('Metric Data'!AG199&gt;=1, INDEX(Metric_Incremental[], MATCH('Metric Data'!AG199, Metric_Incremental[Height], 1), MATCH('Cumulative Volumes Metric'!$F$4, Metric_Incremental[#Headers], 0)), 0))</f>
        <v/>
      </c>
      <c r="E210" s="80" t="str">
        <f>IF(A210=0,"",IF('Metric Data'!AG199&gt;=1, INDEX(Metric_Incremental[], MATCH('Metric Data'!AG199, Metric_Incremental[Height], 1), MATCH('Cumulative Volumes Metric'!$F$4 &amp; "EC", Metric_Incremental[#Headers], 0)), 0))</f>
        <v/>
      </c>
      <c r="F210" s="30" t="str">
        <f t="shared" si="43"/>
        <v/>
      </c>
      <c r="G210" s="30" t="str">
        <f t="shared" si="44"/>
        <v/>
      </c>
      <c r="H210" s="30" t="str">
        <f>IF(A210=0,"",IF('Cumulative Volumes Metric'!$AR$17=FALSE,J210,I210))</f>
        <v/>
      </c>
      <c r="I210" s="30" t="str">
        <f t="shared" si="45"/>
        <v/>
      </c>
      <c r="J210" s="30" t="str">
        <f t="shared" si="46"/>
        <v/>
      </c>
      <c r="K210" s="30" t="str">
        <f>IF(A210=0,"",IF('Cumulative Volumes Metric'!$AR$17=FALSE,M210,L210))</f>
        <v/>
      </c>
      <c r="L210" s="30" t="str">
        <f t="shared" si="47"/>
        <v/>
      </c>
      <c r="M210" s="30" t="str">
        <f t="shared" si="48"/>
        <v/>
      </c>
      <c r="N210" s="30" t="str">
        <f>IF(($E$8/25.4)+45+($E$9/25.4)&gt;989,"FALSE",IF(A210="","",IF('Cumulative Volumes Metric'!$AR$17=FALSE,P210,O210)))</f>
        <v/>
      </c>
      <c r="O210" s="30" t="str">
        <f t="shared" si="49"/>
        <v/>
      </c>
      <c r="P210" s="30" t="str">
        <f>IF(A210=0,"",IF('Cumulative Volumes Metric'!$AR$17=FALSE,(U210*$E$4)+(V210*$E$5),O210))</f>
        <v/>
      </c>
      <c r="Q210" s="30" t="str">
        <f>IF(A210=0,"",(((25.4/1000)*'Metric Data'!$AC$4*'Metric Data'!$AC$5)-D210)*($E$6/100))</f>
        <v/>
      </c>
      <c r="R210" s="30" t="str">
        <f t="shared" si="50"/>
        <v/>
      </c>
      <c r="S210" s="30" t="str">
        <f>IF(A210=0,"",(((25.4/1000)*'Metric Data'!$AC$5*'Metric Data'!$AC$7)-E210)*($E$6/100))</f>
        <v/>
      </c>
      <c r="T210" s="30" t="str">
        <f t="shared" si="51"/>
        <v/>
      </c>
      <c r="U210" s="30" t="str">
        <f t="shared" si="52"/>
        <v/>
      </c>
      <c r="V210" s="30" t="str">
        <f t="shared" si="53"/>
        <v/>
      </c>
      <c r="W210" s="30" t="str">
        <f t="shared" si="54"/>
        <v/>
      </c>
    </row>
    <row r="211" spans="1:23" x14ac:dyDescent="0.2">
      <c r="A211" s="34">
        <f t="shared" si="55"/>
        <v>0</v>
      </c>
      <c r="B211" s="34">
        <v>198</v>
      </c>
      <c r="C211" s="34">
        <f t="shared" si="42"/>
        <v>0</v>
      </c>
      <c r="D211" s="30" t="str">
        <f>IF(A211=0,"",IF('Metric Data'!AG200&gt;=1, INDEX(Metric_Incremental[], MATCH('Metric Data'!AG200, Metric_Incremental[Height], 1), MATCH('Cumulative Volumes Metric'!$F$4, Metric_Incremental[#Headers], 0)), 0))</f>
        <v/>
      </c>
      <c r="E211" s="80" t="str">
        <f>IF(A211=0,"",IF('Metric Data'!AG200&gt;=1, INDEX(Metric_Incremental[], MATCH('Metric Data'!AG200, Metric_Incremental[Height], 1), MATCH('Cumulative Volumes Metric'!$F$4 &amp; "EC", Metric_Incremental[#Headers], 0)), 0))</f>
        <v/>
      </c>
      <c r="F211" s="30" t="str">
        <f t="shared" si="43"/>
        <v/>
      </c>
      <c r="G211" s="30" t="str">
        <f t="shared" si="44"/>
        <v/>
      </c>
      <c r="H211" s="30" t="str">
        <f>IF(A211=0,"",IF('Cumulative Volumes Metric'!$AR$17=FALSE,J211,I211))</f>
        <v/>
      </c>
      <c r="I211" s="30" t="str">
        <f t="shared" si="45"/>
        <v/>
      </c>
      <c r="J211" s="30" t="str">
        <f t="shared" si="46"/>
        <v/>
      </c>
      <c r="K211" s="30" t="str">
        <f>IF(A211=0,"",IF('Cumulative Volumes Metric'!$AR$17=FALSE,M211,L211))</f>
        <v/>
      </c>
      <c r="L211" s="30" t="str">
        <f t="shared" si="47"/>
        <v/>
      </c>
      <c r="M211" s="30" t="str">
        <f t="shared" si="48"/>
        <v/>
      </c>
      <c r="N211" s="30" t="str">
        <f>IF(($E$8/25.4)+45+($E$9/25.4)&gt;989,"FALSE",IF(A211="","",IF('Cumulative Volumes Metric'!$AR$17=FALSE,P211,O211)))</f>
        <v/>
      </c>
      <c r="O211" s="30" t="str">
        <f t="shared" si="49"/>
        <v/>
      </c>
      <c r="P211" s="30" t="str">
        <f>IF(A211=0,"",IF('Cumulative Volumes Metric'!$AR$17=FALSE,(U211*$E$4)+(V211*$E$5),O211))</f>
        <v/>
      </c>
      <c r="Q211" s="30" t="str">
        <f>IF(A211=0,"",(((25.4/1000)*'Metric Data'!$AC$4*'Metric Data'!$AC$5)-D211)*($E$6/100))</f>
        <v/>
      </c>
      <c r="R211" s="30" t="str">
        <f t="shared" si="50"/>
        <v/>
      </c>
      <c r="S211" s="30" t="str">
        <f>IF(A211=0,"",(((25.4/1000)*'Metric Data'!$AC$5*'Metric Data'!$AC$7)-E211)*($E$6/100))</f>
        <v/>
      </c>
      <c r="T211" s="30" t="str">
        <f t="shared" si="51"/>
        <v/>
      </c>
      <c r="U211" s="30" t="str">
        <f t="shared" si="52"/>
        <v/>
      </c>
      <c r="V211" s="30" t="str">
        <f t="shared" si="53"/>
        <v/>
      </c>
      <c r="W211" s="30" t="str">
        <f t="shared" si="54"/>
        <v/>
      </c>
    </row>
    <row r="212" spans="1:23" x14ac:dyDescent="0.2">
      <c r="A212" s="34">
        <f t="shared" si="55"/>
        <v>0</v>
      </c>
      <c r="B212" s="34">
        <v>199</v>
      </c>
      <c r="C212" s="34">
        <f t="shared" si="42"/>
        <v>0</v>
      </c>
      <c r="D212" s="30" t="str">
        <f>IF(A212=0,"",IF('Metric Data'!AG201&gt;=1, INDEX(Metric_Incremental[], MATCH('Metric Data'!AG201, Metric_Incremental[Height], 1), MATCH('Cumulative Volumes Metric'!$F$4, Metric_Incremental[#Headers], 0)), 0))</f>
        <v/>
      </c>
      <c r="E212" s="80" t="str">
        <f>IF(A212=0,"",IF('Metric Data'!AG201&gt;=1, INDEX(Metric_Incremental[], MATCH('Metric Data'!AG201, Metric_Incremental[Height], 1), MATCH('Cumulative Volumes Metric'!$F$4 &amp; "EC", Metric_Incremental[#Headers], 0)), 0))</f>
        <v/>
      </c>
      <c r="F212" s="30" t="str">
        <f t="shared" si="43"/>
        <v/>
      </c>
      <c r="G212" s="30" t="str">
        <f t="shared" si="44"/>
        <v/>
      </c>
      <c r="H212" s="30" t="str">
        <f>IF(A212=0,"",IF('Cumulative Volumes Metric'!$AR$17=FALSE,J212,I212))</f>
        <v/>
      </c>
      <c r="I212" s="30" t="str">
        <f t="shared" si="45"/>
        <v/>
      </c>
      <c r="J212" s="30" t="str">
        <f t="shared" si="46"/>
        <v/>
      </c>
      <c r="K212" s="30" t="str">
        <f>IF(A212=0,"",IF('Cumulative Volumes Metric'!$AR$17=FALSE,M212,L212))</f>
        <v/>
      </c>
      <c r="L212" s="30" t="str">
        <f t="shared" si="47"/>
        <v/>
      </c>
      <c r="M212" s="30" t="str">
        <f t="shared" si="48"/>
        <v/>
      </c>
      <c r="N212" s="30" t="str">
        <f>IF(($E$8/25.4)+45+($E$9/25.4)&gt;989,"FALSE",IF(A212="","",IF('Cumulative Volumes Metric'!$AR$17=FALSE,P212,O212)))</f>
        <v/>
      </c>
      <c r="O212" s="30" t="str">
        <f t="shared" si="49"/>
        <v/>
      </c>
      <c r="P212" s="30" t="str">
        <f>IF(A212=0,"",IF('Cumulative Volumes Metric'!$AR$17=FALSE,(U212*$E$4)+(V212*$E$5),O212))</f>
        <v/>
      </c>
      <c r="Q212" s="30" t="str">
        <f>IF(A212=0,"",(((25.4/1000)*'Metric Data'!$AC$4*'Metric Data'!$AC$5)-D212)*($E$6/100))</f>
        <v/>
      </c>
      <c r="R212" s="30" t="str">
        <f t="shared" si="50"/>
        <v/>
      </c>
      <c r="S212" s="30" t="str">
        <f>IF(A212=0,"",(((25.4/1000)*'Metric Data'!$AC$5*'Metric Data'!$AC$7)-E212)*($E$6/100))</f>
        <v/>
      </c>
      <c r="T212" s="30" t="str">
        <f t="shared" si="51"/>
        <v/>
      </c>
      <c r="U212" s="30" t="str">
        <f t="shared" si="52"/>
        <v/>
      </c>
      <c r="V212" s="30" t="str">
        <f t="shared" si="53"/>
        <v/>
      </c>
      <c r="W212" s="30" t="str">
        <f t="shared" si="54"/>
        <v/>
      </c>
    </row>
    <row r="213" spans="1:23" x14ac:dyDescent="0.2">
      <c r="A213" s="34">
        <f t="shared" si="55"/>
        <v>0</v>
      </c>
      <c r="B213" s="34">
        <v>200</v>
      </c>
      <c r="C213" s="34">
        <f t="shared" si="42"/>
        <v>0</v>
      </c>
      <c r="D213" s="30" t="str">
        <f>IF(A213=0,"",IF('Metric Data'!AG202&gt;=1, INDEX(Metric_Incremental[], MATCH('Metric Data'!AG202, Metric_Incremental[Height], 1), MATCH('Cumulative Volumes Metric'!$F$4, Metric_Incremental[#Headers], 0)), 0))</f>
        <v/>
      </c>
      <c r="E213" s="80" t="str">
        <f>IF(A213=0,"",IF('Metric Data'!AG202&gt;=1, INDEX(Metric_Incremental[], MATCH('Metric Data'!AG202, Metric_Incremental[Height], 1), MATCH('Cumulative Volumes Metric'!$F$4 &amp; "EC", Metric_Incremental[#Headers], 0)), 0))</f>
        <v/>
      </c>
      <c r="F213" s="30" t="str">
        <f t="shared" si="43"/>
        <v/>
      </c>
      <c r="G213" s="30" t="str">
        <f t="shared" si="44"/>
        <v/>
      </c>
      <c r="H213" s="30" t="str">
        <f>IF(A213=0,"",IF('Cumulative Volumes Metric'!$AR$17=FALSE,J213,I213))</f>
        <v/>
      </c>
      <c r="I213" s="30" t="str">
        <f t="shared" si="45"/>
        <v/>
      </c>
      <c r="J213" s="30" t="str">
        <f t="shared" si="46"/>
        <v/>
      </c>
      <c r="K213" s="30" t="str">
        <f>IF(A213=0,"",IF('Cumulative Volumes Metric'!$AR$17=FALSE,M213,L213))</f>
        <v/>
      </c>
      <c r="L213" s="30" t="str">
        <f t="shared" si="47"/>
        <v/>
      </c>
      <c r="M213" s="30" t="str">
        <f t="shared" si="48"/>
        <v/>
      </c>
      <c r="N213" s="30" t="str">
        <f>IF(($E$8/25.4)+45+($E$9/25.4)&gt;989,"FALSE",IF(A213="","",IF('Cumulative Volumes Metric'!$AR$17=FALSE,P213,O213)))</f>
        <v/>
      </c>
      <c r="O213" s="30" t="str">
        <f t="shared" si="49"/>
        <v/>
      </c>
      <c r="P213" s="30" t="str">
        <f>IF(A213=0,"",IF('Cumulative Volumes Metric'!$AR$17=FALSE,(U213*$E$4)+(V213*$E$5),O213))</f>
        <v/>
      </c>
      <c r="Q213" s="30" t="str">
        <f>IF(A213=0,"",(((25.4/1000)*'Metric Data'!$AC$4*'Metric Data'!$AC$5)-D213)*($E$6/100))</f>
        <v/>
      </c>
      <c r="R213" s="30" t="str">
        <f t="shared" si="50"/>
        <v/>
      </c>
      <c r="S213" s="30" t="str">
        <f>IF(A213=0,"",(((25.4/1000)*'Metric Data'!$AC$5*'Metric Data'!$AC$7)-E213)*($E$6/100))</f>
        <v/>
      </c>
      <c r="T213" s="30" t="str">
        <f t="shared" si="51"/>
        <v/>
      </c>
      <c r="U213" s="30" t="str">
        <f t="shared" si="52"/>
        <v/>
      </c>
      <c r="V213" s="30" t="str">
        <f t="shared" si="53"/>
        <v/>
      </c>
      <c r="W213" s="30" t="str">
        <f t="shared" si="54"/>
        <v/>
      </c>
    </row>
    <row r="214" spans="1:23" x14ac:dyDescent="0.2">
      <c r="A214" s="34">
        <f t="shared" si="55"/>
        <v>0</v>
      </c>
      <c r="B214" s="34">
        <v>201</v>
      </c>
      <c r="C214" s="34">
        <f t="shared" si="42"/>
        <v>0</v>
      </c>
      <c r="D214" s="30" t="str">
        <f>IF(A214=0,"",IF('Metric Data'!AG203&gt;=1, INDEX(Metric_Incremental[], MATCH('Metric Data'!AG203, Metric_Incremental[Height], 1), MATCH('Cumulative Volumes Metric'!$F$4, Metric_Incremental[#Headers], 0)), 0))</f>
        <v/>
      </c>
      <c r="E214" s="80" t="str">
        <f>IF(A214=0,"",IF('Metric Data'!AG203&gt;=1, INDEX(Metric_Incremental[], MATCH('Metric Data'!AG203, Metric_Incremental[Height], 1), MATCH('Cumulative Volumes Metric'!$F$4 &amp; "EC", Metric_Incremental[#Headers], 0)), 0))</f>
        <v/>
      </c>
      <c r="F214" s="30" t="str">
        <f t="shared" si="43"/>
        <v/>
      </c>
      <c r="G214" s="30" t="str">
        <f t="shared" si="44"/>
        <v/>
      </c>
      <c r="H214" s="30" t="str">
        <f>IF(A214=0,"",IF('Cumulative Volumes Metric'!$AR$17=FALSE,J214,I214))</f>
        <v/>
      </c>
      <c r="I214" s="30" t="str">
        <f t="shared" si="45"/>
        <v/>
      </c>
      <c r="J214" s="30" t="str">
        <f t="shared" si="46"/>
        <v/>
      </c>
      <c r="K214" s="30" t="str">
        <f>IF(A214=0,"",IF('Cumulative Volumes Metric'!$AR$17=FALSE,M214,L214))</f>
        <v/>
      </c>
      <c r="L214" s="30" t="str">
        <f t="shared" si="47"/>
        <v/>
      </c>
      <c r="M214" s="30" t="str">
        <f t="shared" si="48"/>
        <v/>
      </c>
      <c r="N214" s="30" t="str">
        <f>IF(($E$8/25.4)+45+($E$9/25.4)&gt;989,"FALSE",IF(A214="","",IF('Cumulative Volumes Metric'!$AR$17=FALSE,P214,O214)))</f>
        <v/>
      </c>
      <c r="O214" s="30" t="str">
        <f t="shared" si="49"/>
        <v/>
      </c>
      <c r="P214" s="30" t="str">
        <f>IF(A214=0,"",IF('Cumulative Volumes Metric'!$AR$17=FALSE,(U214*$E$4)+(V214*$E$5),O214))</f>
        <v/>
      </c>
      <c r="Q214" s="30" t="str">
        <f>IF(A214=0,"",(((25.4/1000)*'Metric Data'!$AC$4*'Metric Data'!$AC$5)-D214)*($E$6/100))</f>
        <v/>
      </c>
      <c r="R214" s="30" t="str">
        <f t="shared" si="50"/>
        <v/>
      </c>
      <c r="S214" s="30" t="str">
        <f>IF(A214=0,"",(((25.4/1000)*'Metric Data'!$AC$5*'Metric Data'!$AC$7)-E214)*($E$6/100))</f>
        <v/>
      </c>
      <c r="T214" s="30" t="str">
        <f t="shared" si="51"/>
        <v/>
      </c>
      <c r="U214" s="30" t="str">
        <f t="shared" si="52"/>
        <v/>
      </c>
      <c r="V214" s="30" t="str">
        <f t="shared" si="53"/>
        <v/>
      </c>
      <c r="W214" s="30" t="str">
        <f t="shared" si="54"/>
        <v/>
      </c>
    </row>
    <row r="215" spans="1:23" x14ac:dyDescent="0.2">
      <c r="A215" s="34">
        <f t="shared" si="55"/>
        <v>0</v>
      </c>
      <c r="B215" s="34">
        <v>202</v>
      </c>
      <c r="C215" s="34">
        <f t="shared" si="42"/>
        <v>0</v>
      </c>
      <c r="D215" s="30" t="str">
        <f>IF(A215=0,"",IF('Metric Data'!AG204&gt;=1, INDEX(Metric_Incremental[], MATCH('Metric Data'!AG204, Metric_Incremental[Height], 1), MATCH('Cumulative Volumes Metric'!$F$4, Metric_Incremental[#Headers], 0)), 0))</f>
        <v/>
      </c>
      <c r="E215" s="80" t="str">
        <f>IF(A215=0,"",IF('Metric Data'!AG204&gt;=1, INDEX(Metric_Incremental[], MATCH('Metric Data'!AG204, Metric_Incremental[Height], 1), MATCH('Cumulative Volumes Metric'!$F$4 &amp; "EC", Metric_Incremental[#Headers], 0)), 0))</f>
        <v/>
      </c>
      <c r="F215" s="30" t="str">
        <f t="shared" si="43"/>
        <v/>
      </c>
      <c r="G215" s="30" t="str">
        <f t="shared" si="44"/>
        <v/>
      </c>
      <c r="H215" s="30" t="str">
        <f>IF(A215=0,"",IF('Cumulative Volumes Metric'!$AR$17=FALSE,J215,I215))</f>
        <v/>
      </c>
      <c r="I215" s="30" t="str">
        <f t="shared" si="45"/>
        <v/>
      </c>
      <c r="J215" s="30" t="str">
        <f t="shared" si="46"/>
        <v/>
      </c>
      <c r="K215" s="30" t="str">
        <f>IF(A215=0,"",IF('Cumulative Volumes Metric'!$AR$17=FALSE,M215,L215))</f>
        <v/>
      </c>
      <c r="L215" s="30" t="str">
        <f t="shared" si="47"/>
        <v/>
      </c>
      <c r="M215" s="30" t="str">
        <f t="shared" si="48"/>
        <v/>
      </c>
      <c r="N215" s="30" t="str">
        <f>IF(($E$8/25.4)+45+($E$9/25.4)&gt;989,"FALSE",IF(A215="","",IF('Cumulative Volumes Metric'!$AR$17=FALSE,P215,O215)))</f>
        <v/>
      </c>
      <c r="O215" s="30" t="str">
        <f t="shared" si="49"/>
        <v/>
      </c>
      <c r="P215" s="30" t="str">
        <f>IF(A215=0,"",IF('Cumulative Volumes Metric'!$AR$17=FALSE,(U215*$E$4)+(V215*$E$5),O215))</f>
        <v/>
      </c>
      <c r="Q215" s="30" t="str">
        <f>IF(A215=0,"",(((25.4/1000)*'Metric Data'!$AC$4*'Metric Data'!$AC$5)-D215)*($E$6/100))</f>
        <v/>
      </c>
      <c r="R215" s="30" t="str">
        <f t="shared" si="50"/>
        <v/>
      </c>
      <c r="S215" s="30" t="str">
        <f>IF(A215=0,"",(((25.4/1000)*'Metric Data'!$AC$5*'Metric Data'!$AC$7)-E215)*($E$6/100))</f>
        <v/>
      </c>
      <c r="T215" s="30" t="str">
        <f t="shared" si="51"/>
        <v/>
      </c>
      <c r="U215" s="30" t="str">
        <f t="shared" si="52"/>
        <v/>
      </c>
      <c r="V215" s="30" t="str">
        <f t="shared" si="53"/>
        <v/>
      </c>
      <c r="W215" s="30" t="str">
        <f t="shared" si="54"/>
        <v/>
      </c>
    </row>
    <row r="216" spans="1:23" x14ac:dyDescent="0.2">
      <c r="A216" s="34">
        <f t="shared" si="55"/>
        <v>0</v>
      </c>
      <c r="B216" s="34">
        <v>203</v>
      </c>
      <c r="C216" s="34">
        <f t="shared" si="42"/>
        <v>0</v>
      </c>
      <c r="D216" s="30" t="str">
        <f>IF(A216=0,"",IF('Metric Data'!AG205&gt;=1, INDEX(Metric_Incremental[], MATCH('Metric Data'!AG205, Metric_Incremental[Height], 1), MATCH('Cumulative Volumes Metric'!$F$4, Metric_Incremental[#Headers], 0)), 0))</f>
        <v/>
      </c>
      <c r="E216" s="80" t="str">
        <f>IF(A216=0,"",IF('Metric Data'!AG205&gt;=1, INDEX(Metric_Incremental[], MATCH('Metric Data'!AG205, Metric_Incremental[Height], 1), MATCH('Cumulative Volumes Metric'!$F$4 &amp; "EC", Metric_Incremental[#Headers], 0)), 0))</f>
        <v/>
      </c>
      <c r="F216" s="30" t="str">
        <f t="shared" si="43"/>
        <v/>
      </c>
      <c r="G216" s="30" t="str">
        <f t="shared" si="44"/>
        <v/>
      </c>
      <c r="H216" s="30" t="str">
        <f>IF(A216=0,"",IF('Cumulative Volumes Metric'!$AR$17=FALSE,J216,I216))</f>
        <v/>
      </c>
      <c r="I216" s="30" t="str">
        <f t="shared" si="45"/>
        <v/>
      </c>
      <c r="J216" s="30" t="str">
        <f t="shared" si="46"/>
        <v/>
      </c>
      <c r="K216" s="30" t="str">
        <f>IF(A216=0,"",IF('Cumulative Volumes Metric'!$AR$17=FALSE,M216,L216))</f>
        <v/>
      </c>
      <c r="L216" s="30" t="str">
        <f t="shared" si="47"/>
        <v/>
      </c>
      <c r="M216" s="30" t="str">
        <f t="shared" si="48"/>
        <v/>
      </c>
      <c r="N216" s="30" t="str">
        <f>IF(($E$8/25.4)+45+($E$9/25.4)&gt;989,"FALSE",IF(A216="","",IF('Cumulative Volumes Metric'!$AR$17=FALSE,P216,O216)))</f>
        <v/>
      </c>
      <c r="O216" s="30" t="str">
        <f t="shared" si="49"/>
        <v/>
      </c>
      <c r="P216" s="30" t="str">
        <f>IF(A216=0,"",IF('Cumulative Volumes Metric'!$AR$17=FALSE,(U216*$E$4)+(V216*$E$5),O216))</f>
        <v/>
      </c>
      <c r="Q216" s="30" t="str">
        <f>IF(A216=0,"",(((25.4/1000)*'Metric Data'!$AC$4*'Metric Data'!$AC$5)-D216)*($E$6/100))</f>
        <v/>
      </c>
      <c r="R216" s="30" t="str">
        <f t="shared" si="50"/>
        <v/>
      </c>
      <c r="S216" s="30" t="str">
        <f>IF(A216=0,"",(((25.4/1000)*'Metric Data'!$AC$5*'Metric Data'!$AC$7)-E216)*($E$6/100))</f>
        <v/>
      </c>
      <c r="T216" s="30" t="str">
        <f t="shared" si="51"/>
        <v/>
      </c>
      <c r="U216" s="30" t="str">
        <f t="shared" si="52"/>
        <v/>
      </c>
      <c r="V216" s="30" t="str">
        <f t="shared" si="53"/>
        <v/>
      </c>
      <c r="W216" s="30" t="str">
        <f t="shared" si="54"/>
        <v/>
      </c>
    </row>
    <row r="217" spans="1:23" x14ac:dyDescent="0.2">
      <c r="A217" s="34">
        <f t="shared" si="55"/>
        <v>0</v>
      </c>
      <c r="B217" s="34">
        <v>204</v>
      </c>
      <c r="C217" s="34">
        <f t="shared" si="42"/>
        <v>0</v>
      </c>
      <c r="D217" s="30" t="str">
        <f>IF(A217=0,"",IF('Metric Data'!AG206&gt;=1, INDEX(Metric_Incremental[], MATCH('Metric Data'!AG206, Metric_Incremental[Height], 1), MATCH('Cumulative Volumes Metric'!$F$4, Metric_Incremental[#Headers], 0)), 0))</f>
        <v/>
      </c>
      <c r="E217" s="80" t="str">
        <f>IF(A217=0,"",IF('Metric Data'!AG206&gt;=1, INDEX(Metric_Incremental[], MATCH('Metric Data'!AG206, Metric_Incremental[Height], 1), MATCH('Cumulative Volumes Metric'!$F$4 &amp; "EC", Metric_Incremental[#Headers], 0)), 0))</f>
        <v/>
      </c>
      <c r="F217" s="30" t="str">
        <f t="shared" si="43"/>
        <v/>
      </c>
      <c r="G217" s="30" t="str">
        <f t="shared" si="44"/>
        <v/>
      </c>
      <c r="H217" s="30" t="str">
        <f>IF(A217=0,"",IF('Cumulative Volumes Metric'!$AR$17=FALSE,J217,I217))</f>
        <v/>
      </c>
      <c r="I217" s="30" t="str">
        <f t="shared" si="45"/>
        <v/>
      </c>
      <c r="J217" s="30" t="str">
        <f t="shared" si="46"/>
        <v/>
      </c>
      <c r="K217" s="30" t="str">
        <f>IF(A217=0,"",IF('Cumulative Volumes Metric'!$AR$17=FALSE,M217,L217))</f>
        <v/>
      </c>
      <c r="L217" s="30" t="str">
        <f t="shared" si="47"/>
        <v/>
      </c>
      <c r="M217" s="30" t="str">
        <f t="shared" si="48"/>
        <v/>
      </c>
      <c r="N217" s="30" t="str">
        <f>IF(($E$8/25.4)+45+($E$9/25.4)&gt;989,"FALSE",IF(A217="","",IF('Cumulative Volumes Metric'!$AR$17=FALSE,P217,O217)))</f>
        <v/>
      </c>
      <c r="O217" s="30" t="str">
        <f t="shared" si="49"/>
        <v/>
      </c>
      <c r="P217" s="30" t="str">
        <f>IF(A217=0,"",IF('Cumulative Volumes Metric'!$AR$17=FALSE,(U217*$E$4)+(V217*$E$5),O217))</f>
        <v/>
      </c>
      <c r="Q217" s="30" t="str">
        <f>IF(A217=0,"",(((25.4/1000)*'Metric Data'!$AC$4*'Metric Data'!$AC$5)-D217)*($E$6/100))</f>
        <v/>
      </c>
      <c r="R217" s="30" t="str">
        <f t="shared" si="50"/>
        <v/>
      </c>
      <c r="S217" s="30" t="str">
        <f>IF(A217=0,"",(((25.4/1000)*'Metric Data'!$AC$5*'Metric Data'!$AC$7)-E217)*($E$6/100))</f>
        <v/>
      </c>
      <c r="T217" s="30" t="str">
        <f t="shared" si="51"/>
        <v/>
      </c>
      <c r="U217" s="30" t="str">
        <f t="shared" si="52"/>
        <v/>
      </c>
      <c r="V217" s="30" t="str">
        <f t="shared" si="53"/>
        <v/>
      </c>
      <c r="W217" s="30" t="str">
        <f t="shared" si="54"/>
        <v/>
      </c>
    </row>
    <row r="218" spans="1:23" x14ac:dyDescent="0.2">
      <c r="A218" s="34">
        <f t="shared" si="55"/>
        <v>0</v>
      </c>
      <c r="B218" s="34">
        <v>205</v>
      </c>
      <c r="C218" s="34">
        <f t="shared" si="42"/>
        <v>0</v>
      </c>
      <c r="D218" s="30" t="str">
        <f>IF(A218=0,"",IF('Metric Data'!AG207&gt;=1, INDEX(Metric_Incremental[], MATCH('Metric Data'!AG207, Metric_Incremental[Height], 1), MATCH('Cumulative Volumes Metric'!$F$4, Metric_Incremental[#Headers], 0)), 0))</f>
        <v/>
      </c>
      <c r="E218" s="80" t="str">
        <f>IF(A218=0,"",IF('Metric Data'!AG207&gt;=1, INDEX(Metric_Incremental[], MATCH('Metric Data'!AG207, Metric_Incremental[Height], 1), MATCH('Cumulative Volumes Metric'!$F$4 &amp; "EC", Metric_Incremental[#Headers], 0)), 0))</f>
        <v/>
      </c>
      <c r="F218" s="30" t="str">
        <f t="shared" si="43"/>
        <v/>
      </c>
      <c r="G218" s="30" t="str">
        <f t="shared" si="44"/>
        <v/>
      </c>
      <c r="H218" s="30" t="str">
        <f>IF(A218=0,"",IF('Cumulative Volumes Metric'!$AR$17=FALSE,J218,I218))</f>
        <v/>
      </c>
      <c r="I218" s="30" t="str">
        <f t="shared" si="45"/>
        <v/>
      </c>
      <c r="J218" s="30" t="str">
        <f t="shared" si="46"/>
        <v/>
      </c>
      <c r="K218" s="30" t="str">
        <f>IF(A218=0,"",IF('Cumulative Volumes Metric'!$AR$17=FALSE,M218,L218))</f>
        <v/>
      </c>
      <c r="L218" s="30" t="str">
        <f t="shared" si="47"/>
        <v/>
      </c>
      <c r="M218" s="30" t="str">
        <f t="shared" si="48"/>
        <v/>
      </c>
      <c r="N218" s="30" t="str">
        <f>IF(($E$8/25.4)+45+($E$9/25.4)&gt;989,"FALSE",IF(A218="","",IF('Cumulative Volumes Metric'!$AR$17=FALSE,P218,O218)))</f>
        <v/>
      </c>
      <c r="O218" s="30" t="str">
        <f t="shared" si="49"/>
        <v/>
      </c>
      <c r="P218" s="30" t="str">
        <f>IF(A218=0,"",IF('Cumulative Volumes Metric'!$AR$17=FALSE,(U218*$E$4)+(V218*$E$5),O218))</f>
        <v/>
      </c>
      <c r="Q218" s="30" t="str">
        <f>IF(A218=0,"",(((25.4/1000)*'Metric Data'!$AC$4*'Metric Data'!$AC$5)-D218)*($E$6/100))</f>
        <v/>
      </c>
      <c r="R218" s="30" t="str">
        <f t="shared" si="50"/>
        <v/>
      </c>
      <c r="S218" s="30" t="str">
        <f>IF(A218=0,"",(((25.4/1000)*'Metric Data'!$AC$5*'Metric Data'!$AC$7)-E218)*($E$6/100))</f>
        <v/>
      </c>
      <c r="T218" s="30" t="str">
        <f t="shared" si="51"/>
        <v/>
      </c>
      <c r="U218" s="30" t="str">
        <f t="shared" si="52"/>
        <v/>
      </c>
      <c r="V218" s="30" t="str">
        <f t="shared" si="53"/>
        <v/>
      </c>
      <c r="W218" s="30" t="str">
        <f t="shared" si="54"/>
        <v/>
      </c>
    </row>
    <row r="219" spans="1:23" x14ac:dyDescent="0.2">
      <c r="A219" s="34">
        <f t="shared" si="55"/>
        <v>0</v>
      </c>
      <c r="B219" s="34">
        <v>206</v>
      </c>
      <c r="C219" s="34">
        <f t="shared" si="42"/>
        <v>0</v>
      </c>
      <c r="D219" s="30" t="str">
        <f>IF(A219=0,"",IF('Metric Data'!AG208&gt;=1, INDEX(Metric_Incremental[], MATCH('Metric Data'!AG208, Metric_Incremental[Height], 1), MATCH('Cumulative Volumes Metric'!$F$4, Metric_Incremental[#Headers], 0)), 0))</f>
        <v/>
      </c>
      <c r="E219" s="80" t="str">
        <f>IF(A219=0,"",IF('Metric Data'!AG208&gt;=1, INDEX(Metric_Incremental[], MATCH('Metric Data'!AG208, Metric_Incremental[Height], 1), MATCH('Cumulative Volumes Metric'!$F$4 &amp; "EC", Metric_Incremental[#Headers], 0)), 0))</f>
        <v/>
      </c>
      <c r="F219" s="30" t="str">
        <f t="shared" si="43"/>
        <v/>
      </c>
      <c r="G219" s="30" t="str">
        <f t="shared" si="44"/>
        <v/>
      </c>
      <c r="H219" s="30" t="str">
        <f>IF(A219=0,"",IF('Cumulative Volumes Metric'!$AR$17=FALSE,J219,I219))</f>
        <v/>
      </c>
      <c r="I219" s="30" t="str">
        <f t="shared" si="45"/>
        <v/>
      </c>
      <c r="J219" s="30" t="str">
        <f t="shared" si="46"/>
        <v/>
      </c>
      <c r="K219" s="30" t="str">
        <f>IF(A219=0,"",IF('Cumulative Volumes Metric'!$AR$17=FALSE,M219,L219))</f>
        <v/>
      </c>
      <c r="L219" s="30" t="str">
        <f t="shared" si="47"/>
        <v/>
      </c>
      <c r="M219" s="30" t="str">
        <f t="shared" si="48"/>
        <v/>
      </c>
      <c r="N219" s="30" t="str">
        <f>IF(($E$8/25.4)+45+($E$9/25.4)&gt;989,"FALSE",IF(A219="","",IF('Cumulative Volumes Metric'!$AR$17=FALSE,P219,O219)))</f>
        <v/>
      </c>
      <c r="O219" s="30" t="str">
        <f t="shared" si="49"/>
        <v/>
      </c>
      <c r="P219" s="30" t="str">
        <f>IF(A219=0,"",IF('Cumulative Volumes Metric'!$AR$17=FALSE,(U219*$E$4)+(V219*$E$5),O219))</f>
        <v/>
      </c>
      <c r="Q219" s="30" t="str">
        <f>IF(A219=0,"",(((25.4/1000)*'Metric Data'!$AC$4*'Metric Data'!$AC$5)-D219)*($E$6/100))</f>
        <v/>
      </c>
      <c r="R219" s="30" t="str">
        <f t="shared" si="50"/>
        <v/>
      </c>
      <c r="S219" s="30" t="str">
        <f>IF(A219=0,"",(((25.4/1000)*'Metric Data'!$AC$5*'Metric Data'!$AC$7)-E219)*($E$6/100))</f>
        <v/>
      </c>
      <c r="T219" s="30" t="str">
        <f t="shared" si="51"/>
        <v/>
      </c>
      <c r="U219" s="30" t="str">
        <f t="shared" si="52"/>
        <v/>
      </c>
      <c r="V219" s="30" t="str">
        <f t="shared" si="53"/>
        <v/>
      </c>
      <c r="W219" s="30" t="str">
        <f t="shared" si="54"/>
        <v/>
      </c>
    </row>
    <row r="220" spans="1:23" x14ac:dyDescent="0.2">
      <c r="A220" s="34">
        <f t="shared" si="55"/>
        <v>0</v>
      </c>
      <c r="B220" s="34">
        <v>207</v>
      </c>
      <c r="C220" s="34">
        <f t="shared" si="42"/>
        <v>0</v>
      </c>
      <c r="D220" s="30" t="str">
        <f>IF(A220=0,"",IF('Metric Data'!AG209&gt;=1, INDEX(Metric_Incremental[], MATCH('Metric Data'!AG209, Metric_Incremental[Height], 1), MATCH('Cumulative Volumes Metric'!$F$4, Metric_Incremental[#Headers], 0)), 0))</f>
        <v/>
      </c>
      <c r="E220" s="80" t="str">
        <f>IF(A220=0,"",IF('Metric Data'!AG209&gt;=1, INDEX(Metric_Incremental[], MATCH('Metric Data'!AG209, Metric_Incremental[Height], 1), MATCH('Cumulative Volumes Metric'!$F$4 &amp; "EC", Metric_Incremental[#Headers], 0)), 0))</f>
        <v/>
      </c>
      <c r="F220" s="30" t="str">
        <f t="shared" si="43"/>
        <v/>
      </c>
      <c r="G220" s="30" t="str">
        <f t="shared" si="44"/>
        <v/>
      </c>
      <c r="H220" s="30" t="str">
        <f>IF(A220=0,"",IF('Cumulative Volumes Metric'!$AR$17=FALSE,J220,I220))</f>
        <v/>
      </c>
      <c r="I220" s="30" t="str">
        <f t="shared" si="45"/>
        <v/>
      </c>
      <c r="J220" s="30" t="str">
        <f t="shared" si="46"/>
        <v/>
      </c>
      <c r="K220" s="30" t="str">
        <f>IF(A220=0,"",IF('Cumulative Volumes Metric'!$AR$17=FALSE,M220,L220))</f>
        <v/>
      </c>
      <c r="L220" s="30" t="str">
        <f t="shared" si="47"/>
        <v/>
      </c>
      <c r="M220" s="30" t="str">
        <f t="shared" si="48"/>
        <v/>
      </c>
      <c r="N220" s="30" t="str">
        <f>IF(($E$8/25.4)+45+($E$9/25.4)&gt;989,"FALSE",IF(A220="","",IF('Cumulative Volumes Metric'!$AR$17=FALSE,P220,O220)))</f>
        <v/>
      </c>
      <c r="O220" s="30" t="str">
        <f t="shared" si="49"/>
        <v/>
      </c>
      <c r="P220" s="30" t="str">
        <f>IF(A220=0,"",IF('Cumulative Volumes Metric'!$AR$17=FALSE,(U220*$E$4)+(V220*$E$5),O220))</f>
        <v/>
      </c>
      <c r="Q220" s="30" t="str">
        <f>IF(A220=0,"",(((25.4/1000)*'Metric Data'!$AC$4*'Metric Data'!$AC$5)-D220)*($E$6/100))</f>
        <v/>
      </c>
      <c r="R220" s="30" t="str">
        <f t="shared" si="50"/>
        <v/>
      </c>
      <c r="S220" s="30" t="str">
        <f>IF(A220=0,"",(((25.4/1000)*'Metric Data'!$AC$5*'Metric Data'!$AC$7)-E220)*($E$6/100))</f>
        <v/>
      </c>
      <c r="T220" s="30" t="str">
        <f t="shared" si="51"/>
        <v/>
      </c>
      <c r="U220" s="30" t="str">
        <f t="shared" si="52"/>
        <v/>
      </c>
      <c r="V220" s="30" t="str">
        <f t="shared" si="53"/>
        <v/>
      </c>
      <c r="W220" s="30" t="str">
        <f t="shared" si="54"/>
        <v/>
      </c>
    </row>
    <row r="221" spans="1:23" x14ac:dyDescent="0.2">
      <c r="A221" s="34">
        <f t="shared" si="55"/>
        <v>0</v>
      </c>
      <c r="B221" s="34">
        <v>208</v>
      </c>
      <c r="C221" s="34">
        <f t="shared" si="42"/>
        <v>0</v>
      </c>
      <c r="D221" s="30" t="str">
        <f>IF(A221=0,"",IF('Metric Data'!AG210&gt;=1, INDEX(Metric_Incremental[], MATCH('Metric Data'!AG210, Metric_Incremental[Height], 1), MATCH('Cumulative Volumes Metric'!$F$4, Metric_Incremental[#Headers], 0)), 0))</f>
        <v/>
      </c>
      <c r="E221" s="80" t="str">
        <f>IF(A221=0,"",IF('Metric Data'!AG210&gt;=1, INDEX(Metric_Incremental[], MATCH('Metric Data'!AG210, Metric_Incremental[Height], 1), MATCH('Cumulative Volumes Metric'!$F$4 &amp; "EC", Metric_Incremental[#Headers], 0)), 0))</f>
        <v/>
      </c>
      <c r="F221" s="30" t="str">
        <f t="shared" si="43"/>
        <v/>
      </c>
      <c r="G221" s="30" t="str">
        <f t="shared" si="44"/>
        <v/>
      </c>
      <c r="H221" s="30" t="str">
        <f>IF(A221=0,"",IF('Cumulative Volumes Metric'!$AR$17=FALSE,J221,I221))</f>
        <v/>
      </c>
      <c r="I221" s="30" t="str">
        <f t="shared" si="45"/>
        <v/>
      </c>
      <c r="J221" s="30" t="str">
        <f t="shared" si="46"/>
        <v/>
      </c>
      <c r="K221" s="30" t="str">
        <f>IF(A221=0,"",IF('Cumulative Volumes Metric'!$AR$17=FALSE,M221,L221))</f>
        <v/>
      </c>
      <c r="L221" s="30" t="str">
        <f t="shared" si="47"/>
        <v/>
      </c>
      <c r="M221" s="30" t="str">
        <f t="shared" si="48"/>
        <v/>
      </c>
      <c r="N221" s="30" t="str">
        <f>IF(($E$8/25.4)+45+($E$9/25.4)&gt;989,"FALSE",IF(A221="","",IF('Cumulative Volumes Metric'!$AR$17=FALSE,P221,O221)))</f>
        <v/>
      </c>
      <c r="O221" s="30" t="str">
        <f t="shared" si="49"/>
        <v/>
      </c>
      <c r="P221" s="30" t="str">
        <f>IF(A221=0,"",IF('Cumulative Volumes Metric'!$AR$17=FALSE,(U221*$E$4)+(V221*$E$5),O221))</f>
        <v/>
      </c>
      <c r="Q221" s="30" t="str">
        <f>IF(A221=0,"",(((25.4/1000)*'Metric Data'!$AC$4*'Metric Data'!$AC$5)-D221)*($E$6/100))</f>
        <v/>
      </c>
      <c r="R221" s="30" t="str">
        <f t="shared" si="50"/>
        <v/>
      </c>
      <c r="S221" s="30" t="str">
        <f>IF(A221=0,"",(((25.4/1000)*'Metric Data'!$AC$5*'Metric Data'!$AC$7)-E221)*($E$6/100))</f>
        <v/>
      </c>
      <c r="T221" s="30" t="str">
        <f t="shared" si="51"/>
        <v/>
      </c>
      <c r="U221" s="30" t="str">
        <f t="shared" si="52"/>
        <v/>
      </c>
      <c r="V221" s="30" t="str">
        <f t="shared" si="53"/>
        <v/>
      </c>
      <c r="W221" s="30" t="str">
        <f t="shared" si="54"/>
        <v/>
      </c>
    </row>
    <row r="222" spans="1:23" x14ac:dyDescent="0.2">
      <c r="A222" s="34">
        <f t="shared" si="55"/>
        <v>0</v>
      </c>
      <c r="B222" s="34">
        <v>209</v>
      </c>
      <c r="C222" s="34">
        <f t="shared" si="42"/>
        <v>0</v>
      </c>
      <c r="D222" s="30" t="str">
        <f>IF(A222=0,"",IF('Metric Data'!AG211&gt;=1, INDEX(Metric_Incremental[], MATCH('Metric Data'!AG211, Metric_Incremental[Height], 1), MATCH('Cumulative Volumes Metric'!$F$4, Metric_Incremental[#Headers], 0)), 0))</f>
        <v/>
      </c>
      <c r="E222" s="80" t="str">
        <f>IF(A222=0,"",IF('Metric Data'!AG211&gt;=1, INDEX(Metric_Incremental[], MATCH('Metric Data'!AG211, Metric_Incremental[Height], 1), MATCH('Cumulative Volumes Metric'!$F$4 &amp; "EC", Metric_Incremental[#Headers], 0)), 0))</f>
        <v/>
      </c>
      <c r="F222" s="30" t="str">
        <f t="shared" si="43"/>
        <v/>
      </c>
      <c r="G222" s="30" t="str">
        <f t="shared" si="44"/>
        <v/>
      </c>
      <c r="H222" s="30" t="str">
        <f>IF(A222=0,"",IF('Cumulative Volumes Metric'!$AR$17=FALSE,J222,I222))</f>
        <v/>
      </c>
      <c r="I222" s="30" t="str">
        <f t="shared" si="45"/>
        <v/>
      </c>
      <c r="J222" s="30" t="str">
        <f t="shared" si="46"/>
        <v/>
      </c>
      <c r="K222" s="30" t="str">
        <f>IF(A222=0,"",IF('Cumulative Volumes Metric'!$AR$17=FALSE,M222,L222))</f>
        <v/>
      </c>
      <c r="L222" s="30" t="str">
        <f t="shared" si="47"/>
        <v/>
      </c>
      <c r="M222" s="30" t="str">
        <f t="shared" si="48"/>
        <v/>
      </c>
      <c r="N222" s="30" t="str">
        <f>IF(($E$8/25.4)+45+($E$9/25.4)&gt;989,"FALSE",IF(A222="","",IF('Cumulative Volumes Metric'!$AR$17=FALSE,P222,O222)))</f>
        <v/>
      </c>
      <c r="O222" s="30" t="str">
        <f t="shared" si="49"/>
        <v/>
      </c>
      <c r="P222" s="30" t="str">
        <f>IF(A222=0,"",IF('Cumulative Volumes Metric'!$AR$17=FALSE,(U222*$E$4)+(V222*$E$5),O222))</f>
        <v/>
      </c>
      <c r="Q222" s="30" t="str">
        <f>IF(A222=0,"",(((25.4/1000)*'Metric Data'!$AC$4*'Metric Data'!$AC$5)-D222)*($E$6/100))</f>
        <v/>
      </c>
      <c r="R222" s="30" t="str">
        <f t="shared" si="50"/>
        <v/>
      </c>
      <c r="S222" s="30" t="str">
        <f>IF(A222=0,"",(((25.4/1000)*'Metric Data'!$AC$5*'Metric Data'!$AC$7)-E222)*($E$6/100))</f>
        <v/>
      </c>
      <c r="T222" s="30" t="str">
        <f t="shared" si="51"/>
        <v/>
      </c>
      <c r="U222" s="30" t="str">
        <f t="shared" si="52"/>
        <v/>
      </c>
      <c r="V222" s="30" t="str">
        <f t="shared" si="53"/>
        <v/>
      </c>
      <c r="W222" s="30" t="str">
        <f t="shared" si="54"/>
        <v/>
      </c>
    </row>
    <row r="223" spans="1:23" s="160" customFormat="1" x14ac:dyDescent="0.2">
      <c r="A223" s="159">
        <f t="shared" si="55"/>
        <v>0</v>
      </c>
      <c r="B223" s="159">
        <v>210</v>
      </c>
      <c r="C223" s="159">
        <f t="shared" ref="C223" si="56">A223*25.4</f>
        <v>0</v>
      </c>
      <c r="D223" s="157" t="str">
        <f>IF(A223=0,"",IF('Metric Data'!AG212&gt;=1, INDEX(Metric_Incremental[], MATCH('Metric Data'!AG212, Metric_Incremental[Height], 1), MATCH('Cumulative Volumes Metric'!$F$4, Metric_Incremental[#Headers], 0)), 0))</f>
        <v/>
      </c>
      <c r="E223" s="174" t="str">
        <f>IF(A223=0,"",IF('Metric Data'!AG212&gt;=1, INDEX(Metric_Incremental[], MATCH('Metric Data'!AG212, Metric_Incremental[Height], 1), MATCH('Cumulative Volumes Metric'!$F$4 &amp; "EC", Metric_Incremental[#Headers], 0)), 0))</f>
        <v/>
      </c>
      <c r="F223" s="157" t="str">
        <f t="shared" ref="F223" si="57">IF(A223=0,"",$E$4*D223)</f>
        <v/>
      </c>
      <c r="G223" s="157" t="str">
        <f t="shared" ref="G223" si="58">IF(A223=0,"",$E$5*E223)</f>
        <v/>
      </c>
      <c r="H223" s="157" t="str">
        <f>IF(A223=0,"",IF('Cumulative Volumes Metric'!$AR$17=FALSE,J223,I223))</f>
        <v/>
      </c>
      <c r="I223" s="157" t="str">
        <f t="shared" ref="I223" si="59">IF(A223=0,"",($E$6/100)*($E$10*(25.4/1000)-(F223+G223)))</f>
        <v/>
      </c>
      <c r="J223" s="157" t="str">
        <f t="shared" ref="J223" si="60">IF(A223=0,"",R223+T223)</f>
        <v/>
      </c>
      <c r="K223" s="157" t="str">
        <f>IF(A223=0,"",IF('Cumulative Volumes Metric'!$AR$17=FALSE,M223,L223))</f>
        <v/>
      </c>
      <c r="L223" s="157" t="str">
        <f t="shared" ref="L223" si="61">IF(A223=0,"",I223+F223+G223)</f>
        <v/>
      </c>
      <c r="M223" s="157" t="str">
        <f t="shared" ref="M223" si="62">IF(A223=0,"",F223+G223+J223)</f>
        <v/>
      </c>
      <c r="N223" s="157" t="str">
        <f>IF(($E$8/25.4)+45+($E$9/25.4)&gt;989,"FALSE",IF(A223="","",IF('Cumulative Volumes Metric'!$AR$17=FALSE,P223,O223)))</f>
        <v/>
      </c>
      <c r="O223" s="157" t="str">
        <f t="shared" ref="O223" si="63">IF(A223=0,"",IF(A223=1,L223,O224+L223))</f>
        <v/>
      </c>
      <c r="P223" s="157" t="str">
        <f>IF(A223=0,"",IF('Cumulative Volumes Metric'!$AR$17=FALSE,(U223*$E$4)+(V223*$E$5),O223))</f>
        <v/>
      </c>
      <c r="Q223" s="157" t="str">
        <f>IF(A223=0,"",(((25.4/1000)*'Metric Data'!$AC$4*'Metric Data'!$AC$5)-D223)*($E$6/100))</f>
        <v/>
      </c>
      <c r="R223" s="157" t="str">
        <f t="shared" ref="R223" si="64">IF(A223=0,"",Q223*$E$4)</f>
        <v/>
      </c>
      <c r="S223" s="157" t="str">
        <f>IF(A223=0,"",(((25.4/1000)*'Metric Data'!$AC$5*'Metric Data'!$AC$7)-E223)*($E$6/100))</f>
        <v/>
      </c>
      <c r="T223" s="157" t="str">
        <f t="shared" ref="T223" si="65">IF(A223=0,"",S223*$E$5)</f>
        <v/>
      </c>
      <c r="U223" s="157" t="str">
        <f t="shared" ref="U223" si="66">IF(A223=0,"",IF(A223=1,D223+Q223,U224+D223+Q223))</f>
        <v/>
      </c>
      <c r="V223" s="157" t="str">
        <f t="shared" ref="V223" si="67">IF(A223=0,"",IF(A223=1,E223+S223,V224+E223+S223))</f>
        <v/>
      </c>
      <c r="W223" s="157" t="str">
        <f t="shared" ref="W223" si="68">IF(A223=0,"",$E$7+C223/1000)</f>
        <v/>
      </c>
    </row>
    <row r="224" spans="1:23" x14ac:dyDescent="0.2">
      <c r="A224" s="34">
        <f t="shared" ref="A224:A270" si="69">IF(A223=0,0,IF(A223=" ","",IF(A223-1&gt;0,A223-1,0)))</f>
        <v>0</v>
      </c>
      <c r="B224" s="34"/>
      <c r="C224" s="34"/>
      <c r="D224" s="30"/>
      <c r="E224" s="30"/>
      <c r="F224" s="30"/>
      <c r="G224" s="30"/>
      <c r="H224" s="30"/>
      <c r="I224" s="30"/>
      <c r="J224" s="30"/>
      <c r="K224" s="30"/>
      <c r="L224" s="30"/>
      <c r="M224" s="30"/>
      <c r="N224" s="30"/>
      <c r="O224" s="30"/>
      <c r="P224" s="30"/>
      <c r="Q224" s="30"/>
      <c r="R224" s="30"/>
      <c r="S224" s="30"/>
      <c r="T224" s="30"/>
      <c r="U224" s="30"/>
      <c r="V224" s="30"/>
      <c r="W224" s="30"/>
    </row>
    <row r="225" spans="1:1" x14ac:dyDescent="0.2">
      <c r="A225" s="34">
        <f t="shared" si="69"/>
        <v>0</v>
      </c>
    </row>
    <row r="226" spans="1:1" x14ac:dyDescent="0.2">
      <c r="A226" s="34">
        <f t="shared" si="69"/>
        <v>0</v>
      </c>
    </row>
    <row r="227" spans="1:1" x14ac:dyDescent="0.2">
      <c r="A227" s="34">
        <f t="shared" si="69"/>
        <v>0</v>
      </c>
    </row>
    <row r="228" spans="1:1" x14ac:dyDescent="0.2">
      <c r="A228" s="34">
        <f t="shared" si="69"/>
        <v>0</v>
      </c>
    </row>
    <row r="229" spans="1:1" x14ac:dyDescent="0.2">
      <c r="A229" s="34">
        <f t="shared" si="69"/>
        <v>0</v>
      </c>
    </row>
    <row r="230" spans="1:1" x14ac:dyDescent="0.2">
      <c r="A230" s="34">
        <f t="shared" si="69"/>
        <v>0</v>
      </c>
    </row>
    <row r="231" spans="1:1" x14ac:dyDescent="0.2">
      <c r="A231" s="34">
        <f t="shared" si="69"/>
        <v>0</v>
      </c>
    </row>
    <row r="232" spans="1:1" x14ac:dyDescent="0.2">
      <c r="A232" s="34">
        <f t="shared" si="69"/>
        <v>0</v>
      </c>
    </row>
    <row r="233" spans="1:1" x14ac:dyDescent="0.2">
      <c r="A233" s="34">
        <f t="shared" si="69"/>
        <v>0</v>
      </c>
    </row>
    <row r="234" spans="1:1" x14ac:dyDescent="0.2">
      <c r="A234" s="34">
        <f t="shared" si="69"/>
        <v>0</v>
      </c>
    </row>
    <row r="235" spans="1:1" x14ac:dyDescent="0.2">
      <c r="A235" s="34">
        <f t="shared" si="69"/>
        <v>0</v>
      </c>
    </row>
    <row r="236" spans="1:1" x14ac:dyDescent="0.2">
      <c r="A236" s="34">
        <f t="shared" si="69"/>
        <v>0</v>
      </c>
    </row>
    <row r="237" spans="1:1" x14ac:dyDescent="0.2">
      <c r="A237" s="34">
        <f t="shared" si="69"/>
        <v>0</v>
      </c>
    </row>
    <row r="238" spans="1:1" x14ac:dyDescent="0.2">
      <c r="A238" s="34">
        <f t="shared" si="69"/>
        <v>0</v>
      </c>
    </row>
    <row r="239" spans="1:1" x14ac:dyDescent="0.2">
      <c r="A239" s="34">
        <f t="shared" si="69"/>
        <v>0</v>
      </c>
    </row>
    <row r="240" spans="1:1" x14ac:dyDescent="0.2">
      <c r="A240" s="34">
        <f t="shared" si="69"/>
        <v>0</v>
      </c>
    </row>
    <row r="241" spans="1:1" x14ac:dyDescent="0.2">
      <c r="A241" s="34">
        <f t="shared" si="69"/>
        <v>0</v>
      </c>
    </row>
    <row r="242" spans="1:1" x14ac:dyDescent="0.2">
      <c r="A242" s="34">
        <f t="shared" si="69"/>
        <v>0</v>
      </c>
    </row>
    <row r="243" spans="1:1" x14ac:dyDescent="0.2">
      <c r="A243" s="34">
        <f t="shared" si="69"/>
        <v>0</v>
      </c>
    </row>
    <row r="244" spans="1:1" x14ac:dyDescent="0.2">
      <c r="A244" s="34">
        <f t="shared" si="69"/>
        <v>0</v>
      </c>
    </row>
    <row r="245" spans="1:1" x14ac:dyDescent="0.2">
      <c r="A245" s="34">
        <f t="shared" si="69"/>
        <v>0</v>
      </c>
    </row>
    <row r="246" spans="1:1" x14ac:dyDescent="0.2">
      <c r="A246" s="34">
        <f t="shared" si="69"/>
        <v>0</v>
      </c>
    </row>
    <row r="247" spans="1:1" x14ac:dyDescent="0.2">
      <c r="A247" s="34">
        <f t="shared" si="69"/>
        <v>0</v>
      </c>
    </row>
    <row r="248" spans="1:1" x14ac:dyDescent="0.2">
      <c r="A248" s="34">
        <f t="shared" si="69"/>
        <v>0</v>
      </c>
    </row>
    <row r="249" spans="1:1" x14ac:dyDescent="0.2">
      <c r="A249" s="34">
        <f t="shared" si="69"/>
        <v>0</v>
      </c>
    </row>
    <row r="250" spans="1:1" x14ac:dyDescent="0.2">
      <c r="A250" s="34">
        <f t="shared" si="69"/>
        <v>0</v>
      </c>
    </row>
    <row r="251" spans="1:1" x14ac:dyDescent="0.2">
      <c r="A251" s="34">
        <f t="shared" si="69"/>
        <v>0</v>
      </c>
    </row>
    <row r="252" spans="1:1" x14ac:dyDescent="0.2">
      <c r="A252" s="34">
        <f t="shared" si="69"/>
        <v>0</v>
      </c>
    </row>
    <row r="253" spans="1:1" x14ac:dyDescent="0.2">
      <c r="A253" s="34">
        <f t="shared" si="69"/>
        <v>0</v>
      </c>
    </row>
    <row r="254" spans="1:1" x14ac:dyDescent="0.2">
      <c r="A254" s="34">
        <f t="shared" si="69"/>
        <v>0</v>
      </c>
    </row>
    <row r="255" spans="1:1" x14ac:dyDescent="0.2">
      <c r="A255" s="34">
        <f t="shared" si="69"/>
        <v>0</v>
      </c>
    </row>
    <row r="256" spans="1:1" x14ac:dyDescent="0.2">
      <c r="A256" s="34">
        <f t="shared" si="69"/>
        <v>0</v>
      </c>
    </row>
    <row r="257" spans="1:1" x14ac:dyDescent="0.2">
      <c r="A257" s="34">
        <f t="shared" si="69"/>
        <v>0</v>
      </c>
    </row>
    <row r="258" spans="1:1" x14ac:dyDescent="0.2">
      <c r="A258" s="34">
        <f t="shared" si="69"/>
        <v>0</v>
      </c>
    </row>
    <row r="259" spans="1:1" x14ac:dyDescent="0.2">
      <c r="A259" s="34">
        <f t="shared" si="69"/>
        <v>0</v>
      </c>
    </row>
    <row r="260" spans="1:1" x14ac:dyDescent="0.2">
      <c r="A260" s="34">
        <f t="shared" si="69"/>
        <v>0</v>
      </c>
    </row>
    <row r="261" spans="1:1" x14ac:dyDescent="0.2">
      <c r="A261" s="34">
        <f t="shared" si="69"/>
        <v>0</v>
      </c>
    </row>
    <row r="262" spans="1:1" x14ac:dyDescent="0.2">
      <c r="A262" s="34">
        <f t="shared" si="69"/>
        <v>0</v>
      </c>
    </row>
    <row r="263" spans="1:1" x14ac:dyDescent="0.2">
      <c r="A263" s="34">
        <f t="shared" si="69"/>
        <v>0</v>
      </c>
    </row>
    <row r="264" spans="1:1" x14ac:dyDescent="0.2">
      <c r="A264" s="34">
        <f t="shared" si="69"/>
        <v>0</v>
      </c>
    </row>
    <row r="265" spans="1:1" x14ac:dyDescent="0.2">
      <c r="A265" s="34">
        <f t="shared" si="69"/>
        <v>0</v>
      </c>
    </row>
    <row r="266" spans="1:1" x14ac:dyDescent="0.2">
      <c r="A266" s="34">
        <f t="shared" si="69"/>
        <v>0</v>
      </c>
    </row>
    <row r="267" spans="1:1" x14ac:dyDescent="0.2">
      <c r="A267" s="34">
        <f t="shared" si="69"/>
        <v>0</v>
      </c>
    </row>
    <row r="268" spans="1:1" x14ac:dyDescent="0.2">
      <c r="A268" s="34">
        <f t="shared" si="69"/>
        <v>0</v>
      </c>
    </row>
    <row r="269" spans="1:1" x14ac:dyDescent="0.2">
      <c r="A269" s="34">
        <f t="shared" si="69"/>
        <v>0</v>
      </c>
    </row>
    <row r="270" spans="1:1" x14ac:dyDescent="0.2">
      <c r="A270" s="34">
        <f t="shared" si="69"/>
        <v>0</v>
      </c>
    </row>
    <row r="271" spans="1:1" x14ac:dyDescent="0.2">
      <c r="A271" s="34">
        <f t="shared" ref="A271:A334" si="70">IF(A270=0,0,IF(A270=" ","",IF(A270-1&gt;0,A270-1,0)))</f>
        <v>0</v>
      </c>
    </row>
    <row r="272" spans="1:1" x14ac:dyDescent="0.2">
      <c r="A272" s="34">
        <f t="shared" si="70"/>
        <v>0</v>
      </c>
    </row>
    <row r="273" spans="1:1" x14ac:dyDescent="0.2">
      <c r="A273" s="34">
        <f t="shared" si="70"/>
        <v>0</v>
      </c>
    </row>
    <row r="274" spans="1:1" x14ac:dyDescent="0.2">
      <c r="A274" s="34">
        <f t="shared" si="70"/>
        <v>0</v>
      </c>
    </row>
    <row r="275" spans="1:1" x14ac:dyDescent="0.2">
      <c r="A275" s="34">
        <f t="shared" si="70"/>
        <v>0</v>
      </c>
    </row>
    <row r="276" spans="1:1" x14ac:dyDescent="0.2">
      <c r="A276" s="34">
        <f t="shared" si="70"/>
        <v>0</v>
      </c>
    </row>
    <row r="277" spans="1:1" x14ac:dyDescent="0.2">
      <c r="A277" s="34">
        <f t="shared" si="70"/>
        <v>0</v>
      </c>
    </row>
    <row r="278" spans="1:1" x14ac:dyDescent="0.2">
      <c r="A278" s="34">
        <f t="shared" si="70"/>
        <v>0</v>
      </c>
    </row>
    <row r="279" spans="1:1" x14ac:dyDescent="0.2">
      <c r="A279" s="34">
        <f t="shared" si="70"/>
        <v>0</v>
      </c>
    </row>
    <row r="280" spans="1:1" x14ac:dyDescent="0.2">
      <c r="A280" s="34">
        <f t="shared" si="70"/>
        <v>0</v>
      </c>
    </row>
    <row r="281" spans="1:1" x14ac:dyDescent="0.2">
      <c r="A281" s="34">
        <f t="shared" si="70"/>
        <v>0</v>
      </c>
    </row>
    <row r="282" spans="1:1" x14ac:dyDescent="0.2">
      <c r="A282" s="34">
        <f t="shared" si="70"/>
        <v>0</v>
      </c>
    </row>
    <row r="283" spans="1:1" x14ac:dyDescent="0.2">
      <c r="A283" s="34">
        <f t="shared" si="70"/>
        <v>0</v>
      </c>
    </row>
    <row r="284" spans="1:1" x14ac:dyDescent="0.2">
      <c r="A284" s="34">
        <f t="shared" si="70"/>
        <v>0</v>
      </c>
    </row>
    <row r="285" spans="1:1" x14ac:dyDescent="0.2">
      <c r="A285" s="34">
        <f t="shared" si="70"/>
        <v>0</v>
      </c>
    </row>
    <row r="286" spans="1:1" x14ac:dyDescent="0.2">
      <c r="A286" s="34">
        <f t="shared" si="70"/>
        <v>0</v>
      </c>
    </row>
    <row r="287" spans="1:1" x14ac:dyDescent="0.2">
      <c r="A287" s="34">
        <f t="shared" si="70"/>
        <v>0</v>
      </c>
    </row>
    <row r="288" spans="1:1" x14ac:dyDescent="0.2">
      <c r="A288" s="34">
        <f t="shared" si="70"/>
        <v>0</v>
      </c>
    </row>
    <row r="289" spans="1:1" x14ac:dyDescent="0.2">
      <c r="A289" s="34">
        <f t="shared" si="70"/>
        <v>0</v>
      </c>
    </row>
    <row r="290" spans="1:1" x14ac:dyDescent="0.2">
      <c r="A290" s="34">
        <f t="shared" si="70"/>
        <v>0</v>
      </c>
    </row>
    <row r="291" spans="1:1" x14ac:dyDescent="0.2">
      <c r="A291" s="34">
        <f t="shared" si="70"/>
        <v>0</v>
      </c>
    </row>
    <row r="292" spans="1:1" x14ac:dyDescent="0.2">
      <c r="A292" s="34">
        <f t="shared" si="70"/>
        <v>0</v>
      </c>
    </row>
    <row r="293" spans="1:1" x14ac:dyDescent="0.2">
      <c r="A293" s="34">
        <f t="shared" si="70"/>
        <v>0</v>
      </c>
    </row>
    <row r="294" spans="1:1" x14ac:dyDescent="0.2">
      <c r="A294" s="34">
        <f t="shared" si="70"/>
        <v>0</v>
      </c>
    </row>
    <row r="295" spans="1:1" x14ac:dyDescent="0.2">
      <c r="A295" s="34">
        <f t="shared" si="70"/>
        <v>0</v>
      </c>
    </row>
    <row r="296" spans="1:1" x14ac:dyDescent="0.2">
      <c r="A296" s="34">
        <f t="shared" si="70"/>
        <v>0</v>
      </c>
    </row>
    <row r="297" spans="1:1" x14ac:dyDescent="0.2">
      <c r="A297" s="34">
        <f t="shared" si="70"/>
        <v>0</v>
      </c>
    </row>
    <row r="298" spans="1:1" x14ac:dyDescent="0.2">
      <c r="A298" s="34">
        <f t="shared" si="70"/>
        <v>0</v>
      </c>
    </row>
    <row r="299" spans="1:1" x14ac:dyDescent="0.2">
      <c r="A299" s="34">
        <f t="shared" si="70"/>
        <v>0</v>
      </c>
    </row>
    <row r="300" spans="1:1" x14ac:dyDescent="0.2">
      <c r="A300" s="34">
        <f t="shared" si="70"/>
        <v>0</v>
      </c>
    </row>
    <row r="301" spans="1:1" x14ac:dyDescent="0.2">
      <c r="A301" s="34">
        <f t="shared" si="70"/>
        <v>0</v>
      </c>
    </row>
    <row r="302" spans="1:1" x14ac:dyDescent="0.2">
      <c r="A302" s="34">
        <f t="shared" si="70"/>
        <v>0</v>
      </c>
    </row>
    <row r="303" spans="1:1" x14ac:dyDescent="0.2">
      <c r="A303" s="34">
        <f t="shared" si="70"/>
        <v>0</v>
      </c>
    </row>
    <row r="304" spans="1:1" x14ac:dyDescent="0.2">
      <c r="A304" s="34">
        <f t="shared" si="70"/>
        <v>0</v>
      </c>
    </row>
    <row r="305" spans="1:1" x14ac:dyDescent="0.2">
      <c r="A305" s="34">
        <f t="shared" si="70"/>
        <v>0</v>
      </c>
    </row>
    <row r="306" spans="1:1" x14ac:dyDescent="0.2">
      <c r="A306" s="34">
        <f t="shared" si="70"/>
        <v>0</v>
      </c>
    </row>
    <row r="307" spans="1:1" x14ac:dyDescent="0.2">
      <c r="A307" s="34">
        <f t="shared" si="70"/>
        <v>0</v>
      </c>
    </row>
    <row r="308" spans="1:1" x14ac:dyDescent="0.2">
      <c r="A308" s="34">
        <f t="shared" si="70"/>
        <v>0</v>
      </c>
    </row>
    <row r="309" spans="1:1" x14ac:dyDescent="0.2">
      <c r="A309" s="34">
        <f t="shared" si="70"/>
        <v>0</v>
      </c>
    </row>
    <row r="310" spans="1:1" x14ac:dyDescent="0.2">
      <c r="A310" s="34">
        <f t="shared" si="70"/>
        <v>0</v>
      </c>
    </row>
    <row r="311" spans="1:1" x14ac:dyDescent="0.2">
      <c r="A311" s="34">
        <f t="shared" si="70"/>
        <v>0</v>
      </c>
    </row>
    <row r="312" spans="1:1" x14ac:dyDescent="0.2">
      <c r="A312" s="34">
        <f t="shared" si="70"/>
        <v>0</v>
      </c>
    </row>
    <row r="313" spans="1:1" x14ac:dyDescent="0.2">
      <c r="A313" s="34">
        <f t="shared" si="70"/>
        <v>0</v>
      </c>
    </row>
    <row r="314" spans="1:1" x14ac:dyDescent="0.2">
      <c r="A314" s="34">
        <f t="shared" si="70"/>
        <v>0</v>
      </c>
    </row>
    <row r="315" spans="1:1" x14ac:dyDescent="0.2">
      <c r="A315" s="34">
        <f t="shared" si="70"/>
        <v>0</v>
      </c>
    </row>
    <row r="316" spans="1:1" x14ac:dyDescent="0.2">
      <c r="A316" s="34">
        <f t="shared" si="70"/>
        <v>0</v>
      </c>
    </row>
    <row r="317" spans="1:1" x14ac:dyDescent="0.2">
      <c r="A317" s="34">
        <f t="shared" si="70"/>
        <v>0</v>
      </c>
    </row>
    <row r="318" spans="1:1" x14ac:dyDescent="0.2">
      <c r="A318" s="34">
        <f t="shared" si="70"/>
        <v>0</v>
      </c>
    </row>
    <row r="319" spans="1:1" x14ac:dyDescent="0.2">
      <c r="A319" s="34">
        <f t="shared" si="70"/>
        <v>0</v>
      </c>
    </row>
    <row r="320" spans="1:1" x14ac:dyDescent="0.2">
      <c r="A320" s="34">
        <f t="shared" si="70"/>
        <v>0</v>
      </c>
    </row>
    <row r="321" spans="1:1" x14ac:dyDescent="0.2">
      <c r="A321" s="34">
        <f t="shared" si="70"/>
        <v>0</v>
      </c>
    </row>
    <row r="322" spans="1:1" x14ac:dyDescent="0.2">
      <c r="A322" s="34">
        <f t="shared" si="70"/>
        <v>0</v>
      </c>
    </row>
    <row r="323" spans="1:1" x14ac:dyDescent="0.2">
      <c r="A323" s="34">
        <f t="shared" si="70"/>
        <v>0</v>
      </c>
    </row>
    <row r="324" spans="1:1" x14ac:dyDescent="0.2">
      <c r="A324" s="34">
        <f t="shared" si="70"/>
        <v>0</v>
      </c>
    </row>
    <row r="325" spans="1:1" x14ac:dyDescent="0.2">
      <c r="A325" s="34">
        <f t="shared" si="70"/>
        <v>0</v>
      </c>
    </row>
    <row r="326" spans="1:1" x14ac:dyDescent="0.2">
      <c r="A326" s="34">
        <f t="shared" si="70"/>
        <v>0</v>
      </c>
    </row>
    <row r="327" spans="1:1" x14ac:dyDescent="0.2">
      <c r="A327" s="34">
        <f t="shared" si="70"/>
        <v>0</v>
      </c>
    </row>
    <row r="328" spans="1:1" x14ac:dyDescent="0.2">
      <c r="A328" s="34">
        <f t="shared" si="70"/>
        <v>0</v>
      </c>
    </row>
    <row r="329" spans="1:1" x14ac:dyDescent="0.2">
      <c r="A329" s="34">
        <f t="shared" si="70"/>
        <v>0</v>
      </c>
    </row>
    <row r="330" spans="1:1" x14ac:dyDescent="0.2">
      <c r="A330" s="34">
        <f t="shared" si="70"/>
        <v>0</v>
      </c>
    </row>
    <row r="331" spans="1:1" x14ac:dyDescent="0.2">
      <c r="A331" s="34">
        <f t="shared" si="70"/>
        <v>0</v>
      </c>
    </row>
    <row r="332" spans="1:1" x14ac:dyDescent="0.2">
      <c r="A332" s="34">
        <f t="shared" si="70"/>
        <v>0</v>
      </c>
    </row>
    <row r="333" spans="1:1" x14ac:dyDescent="0.2">
      <c r="A333" s="34">
        <f t="shared" si="70"/>
        <v>0</v>
      </c>
    </row>
    <row r="334" spans="1:1" x14ac:dyDescent="0.2">
      <c r="A334" s="34">
        <f t="shared" si="70"/>
        <v>0</v>
      </c>
    </row>
    <row r="335" spans="1:1" x14ac:dyDescent="0.2">
      <c r="A335" s="34">
        <f t="shared" ref="A335:A398" si="71">IF(A334=0,0,IF(A334=" ","",IF(A334-1&gt;0,A334-1,0)))</f>
        <v>0</v>
      </c>
    </row>
    <row r="336" spans="1:1" x14ac:dyDescent="0.2">
      <c r="A336" s="34">
        <f t="shared" si="71"/>
        <v>0</v>
      </c>
    </row>
    <row r="337" spans="1:1" x14ac:dyDescent="0.2">
      <c r="A337" s="34">
        <f t="shared" si="71"/>
        <v>0</v>
      </c>
    </row>
    <row r="338" spans="1:1" x14ac:dyDescent="0.2">
      <c r="A338" s="34">
        <f t="shared" si="71"/>
        <v>0</v>
      </c>
    </row>
    <row r="339" spans="1:1" x14ac:dyDescent="0.2">
      <c r="A339" s="34">
        <f t="shared" si="71"/>
        <v>0</v>
      </c>
    </row>
    <row r="340" spans="1:1" x14ac:dyDescent="0.2">
      <c r="A340" s="34">
        <f t="shared" si="71"/>
        <v>0</v>
      </c>
    </row>
    <row r="341" spans="1:1" x14ac:dyDescent="0.2">
      <c r="A341" s="34">
        <f t="shared" si="71"/>
        <v>0</v>
      </c>
    </row>
    <row r="342" spans="1:1" x14ac:dyDescent="0.2">
      <c r="A342" s="34">
        <f t="shared" si="71"/>
        <v>0</v>
      </c>
    </row>
    <row r="343" spans="1:1" x14ac:dyDescent="0.2">
      <c r="A343" s="34">
        <f t="shared" si="71"/>
        <v>0</v>
      </c>
    </row>
    <row r="344" spans="1:1" x14ac:dyDescent="0.2">
      <c r="A344" s="34">
        <f t="shared" si="71"/>
        <v>0</v>
      </c>
    </row>
    <row r="345" spans="1:1" x14ac:dyDescent="0.2">
      <c r="A345" s="34">
        <f t="shared" si="71"/>
        <v>0</v>
      </c>
    </row>
    <row r="346" spans="1:1" x14ac:dyDescent="0.2">
      <c r="A346" s="34">
        <f t="shared" si="71"/>
        <v>0</v>
      </c>
    </row>
    <row r="347" spans="1:1" x14ac:dyDescent="0.2">
      <c r="A347" s="34">
        <f t="shared" si="71"/>
        <v>0</v>
      </c>
    </row>
    <row r="348" spans="1:1" x14ac:dyDescent="0.2">
      <c r="A348" s="34">
        <f t="shared" si="71"/>
        <v>0</v>
      </c>
    </row>
    <row r="349" spans="1:1" x14ac:dyDescent="0.2">
      <c r="A349" s="34">
        <f t="shared" si="71"/>
        <v>0</v>
      </c>
    </row>
    <row r="350" spans="1:1" x14ac:dyDescent="0.2">
      <c r="A350" s="34">
        <f t="shared" si="71"/>
        <v>0</v>
      </c>
    </row>
    <row r="351" spans="1:1" x14ac:dyDescent="0.2">
      <c r="A351" s="34">
        <f t="shared" si="71"/>
        <v>0</v>
      </c>
    </row>
    <row r="352" spans="1:1" x14ac:dyDescent="0.2">
      <c r="A352" s="34">
        <f t="shared" si="71"/>
        <v>0</v>
      </c>
    </row>
    <row r="353" spans="1:1" x14ac:dyDescent="0.2">
      <c r="A353" s="34">
        <f t="shared" si="71"/>
        <v>0</v>
      </c>
    </row>
    <row r="354" spans="1:1" x14ac:dyDescent="0.2">
      <c r="A354" s="34">
        <f t="shared" si="71"/>
        <v>0</v>
      </c>
    </row>
    <row r="355" spans="1:1" x14ac:dyDescent="0.2">
      <c r="A355" s="34">
        <f t="shared" si="71"/>
        <v>0</v>
      </c>
    </row>
    <row r="356" spans="1:1" x14ac:dyDescent="0.2">
      <c r="A356" s="34">
        <f t="shared" si="71"/>
        <v>0</v>
      </c>
    </row>
    <row r="357" spans="1:1" x14ac:dyDescent="0.2">
      <c r="A357" s="34">
        <f t="shared" si="71"/>
        <v>0</v>
      </c>
    </row>
    <row r="358" spans="1:1" x14ac:dyDescent="0.2">
      <c r="A358" s="34">
        <f t="shared" si="71"/>
        <v>0</v>
      </c>
    </row>
    <row r="359" spans="1:1" x14ac:dyDescent="0.2">
      <c r="A359" s="34">
        <f t="shared" si="71"/>
        <v>0</v>
      </c>
    </row>
    <row r="360" spans="1:1" x14ac:dyDescent="0.2">
      <c r="A360" s="34">
        <f t="shared" si="71"/>
        <v>0</v>
      </c>
    </row>
    <row r="361" spans="1:1" x14ac:dyDescent="0.2">
      <c r="A361" s="34">
        <f t="shared" si="71"/>
        <v>0</v>
      </c>
    </row>
    <row r="362" spans="1:1" x14ac:dyDescent="0.2">
      <c r="A362" s="34">
        <f t="shared" si="71"/>
        <v>0</v>
      </c>
    </row>
    <row r="363" spans="1:1" x14ac:dyDescent="0.2">
      <c r="A363" s="34">
        <f t="shared" si="71"/>
        <v>0</v>
      </c>
    </row>
    <row r="364" spans="1:1" x14ac:dyDescent="0.2">
      <c r="A364" s="34">
        <f t="shared" si="71"/>
        <v>0</v>
      </c>
    </row>
    <row r="365" spans="1:1" x14ac:dyDescent="0.2">
      <c r="A365" s="34">
        <f t="shared" si="71"/>
        <v>0</v>
      </c>
    </row>
    <row r="366" spans="1:1" x14ac:dyDescent="0.2">
      <c r="A366" s="34">
        <f t="shared" si="71"/>
        <v>0</v>
      </c>
    </row>
    <row r="367" spans="1:1" x14ac:dyDescent="0.2">
      <c r="A367" s="34">
        <f t="shared" si="71"/>
        <v>0</v>
      </c>
    </row>
    <row r="368" spans="1:1" x14ac:dyDescent="0.2">
      <c r="A368" s="34">
        <f t="shared" si="71"/>
        <v>0</v>
      </c>
    </row>
    <row r="369" spans="1:1" x14ac:dyDescent="0.2">
      <c r="A369" s="34">
        <f t="shared" si="71"/>
        <v>0</v>
      </c>
    </row>
    <row r="370" spans="1:1" x14ac:dyDescent="0.2">
      <c r="A370" s="34">
        <f t="shared" si="71"/>
        <v>0</v>
      </c>
    </row>
    <row r="371" spans="1:1" x14ac:dyDescent="0.2">
      <c r="A371" s="34">
        <f t="shared" si="71"/>
        <v>0</v>
      </c>
    </row>
    <row r="372" spans="1:1" x14ac:dyDescent="0.2">
      <c r="A372" s="34">
        <f t="shared" si="71"/>
        <v>0</v>
      </c>
    </row>
    <row r="373" spans="1:1" x14ac:dyDescent="0.2">
      <c r="A373" s="34">
        <f t="shared" si="71"/>
        <v>0</v>
      </c>
    </row>
    <row r="374" spans="1:1" x14ac:dyDescent="0.2">
      <c r="A374" s="34">
        <f t="shared" si="71"/>
        <v>0</v>
      </c>
    </row>
    <row r="375" spans="1:1" x14ac:dyDescent="0.2">
      <c r="A375" s="34">
        <f t="shared" si="71"/>
        <v>0</v>
      </c>
    </row>
    <row r="376" spans="1:1" x14ac:dyDescent="0.2">
      <c r="A376" s="34">
        <f t="shared" si="71"/>
        <v>0</v>
      </c>
    </row>
    <row r="377" spans="1:1" x14ac:dyDescent="0.2">
      <c r="A377" s="34">
        <f t="shared" si="71"/>
        <v>0</v>
      </c>
    </row>
    <row r="378" spans="1:1" x14ac:dyDescent="0.2">
      <c r="A378" s="34">
        <f t="shared" si="71"/>
        <v>0</v>
      </c>
    </row>
    <row r="379" spans="1:1" x14ac:dyDescent="0.2">
      <c r="A379" s="34">
        <f t="shared" si="71"/>
        <v>0</v>
      </c>
    </row>
    <row r="380" spans="1:1" x14ac:dyDescent="0.2">
      <c r="A380" s="34">
        <f t="shared" si="71"/>
        <v>0</v>
      </c>
    </row>
    <row r="381" spans="1:1" x14ac:dyDescent="0.2">
      <c r="A381" s="34">
        <f t="shared" si="71"/>
        <v>0</v>
      </c>
    </row>
    <row r="382" spans="1:1" x14ac:dyDescent="0.2">
      <c r="A382" s="34">
        <f t="shared" si="71"/>
        <v>0</v>
      </c>
    </row>
    <row r="383" spans="1:1" x14ac:dyDescent="0.2">
      <c r="A383" s="34">
        <f t="shared" si="71"/>
        <v>0</v>
      </c>
    </row>
    <row r="384" spans="1:1" x14ac:dyDescent="0.2">
      <c r="A384" s="34">
        <f t="shared" si="71"/>
        <v>0</v>
      </c>
    </row>
    <row r="385" spans="1:1" x14ac:dyDescent="0.2">
      <c r="A385" s="34">
        <f t="shared" si="71"/>
        <v>0</v>
      </c>
    </row>
    <row r="386" spans="1:1" x14ac:dyDescent="0.2">
      <c r="A386" s="34">
        <f t="shared" si="71"/>
        <v>0</v>
      </c>
    </row>
    <row r="387" spans="1:1" x14ac:dyDescent="0.2">
      <c r="A387" s="34">
        <f t="shared" si="71"/>
        <v>0</v>
      </c>
    </row>
    <row r="388" spans="1:1" x14ac:dyDescent="0.2">
      <c r="A388" s="34">
        <f t="shared" si="71"/>
        <v>0</v>
      </c>
    </row>
    <row r="389" spans="1:1" x14ac:dyDescent="0.2">
      <c r="A389" s="34">
        <f t="shared" si="71"/>
        <v>0</v>
      </c>
    </row>
    <row r="390" spans="1:1" x14ac:dyDescent="0.2">
      <c r="A390" s="34">
        <f t="shared" si="71"/>
        <v>0</v>
      </c>
    </row>
    <row r="391" spans="1:1" x14ac:dyDescent="0.2">
      <c r="A391" s="34">
        <f t="shared" si="71"/>
        <v>0</v>
      </c>
    </row>
    <row r="392" spans="1:1" x14ac:dyDescent="0.2">
      <c r="A392" s="34">
        <f t="shared" si="71"/>
        <v>0</v>
      </c>
    </row>
    <row r="393" spans="1:1" x14ac:dyDescent="0.2">
      <c r="A393" s="34">
        <f t="shared" si="71"/>
        <v>0</v>
      </c>
    </row>
    <row r="394" spans="1:1" x14ac:dyDescent="0.2">
      <c r="A394" s="34">
        <f t="shared" si="71"/>
        <v>0</v>
      </c>
    </row>
    <row r="395" spans="1:1" x14ac:dyDescent="0.2">
      <c r="A395" s="34">
        <f t="shared" si="71"/>
        <v>0</v>
      </c>
    </row>
    <row r="396" spans="1:1" x14ac:dyDescent="0.2">
      <c r="A396" s="34">
        <f t="shared" si="71"/>
        <v>0</v>
      </c>
    </row>
    <row r="397" spans="1:1" x14ac:dyDescent="0.2">
      <c r="A397" s="34">
        <f t="shared" si="71"/>
        <v>0</v>
      </c>
    </row>
    <row r="398" spans="1:1" x14ac:dyDescent="0.2">
      <c r="A398" s="34">
        <f t="shared" si="71"/>
        <v>0</v>
      </c>
    </row>
    <row r="399" spans="1:1" x14ac:dyDescent="0.2">
      <c r="A399" s="34">
        <f t="shared" ref="A399:A462" si="72">IF(A398=0,0,IF(A398=" ","",IF(A398-1&gt;0,A398-1,0)))</f>
        <v>0</v>
      </c>
    </row>
    <row r="400" spans="1:1" x14ac:dyDescent="0.2">
      <c r="A400" s="34">
        <f t="shared" si="72"/>
        <v>0</v>
      </c>
    </row>
    <row r="401" spans="1:1" x14ac:dyDescent="0.2">
      <c r="A401" s="34">
        <f t="shared" si="72"/>
        <v>0</v>
      </c>
    </row>
    <row r="402" spans="1:1" x14ac:dyDescent="0.2">
      <c r="A402" s="34">
        <f t="shared" si="72"/>
        <v>0</v>
      </c>
    </row>
    <row r="403" spans="1:1" x14ac:dyDescent="0.2">
      <c r="A403" s="34">
        <f t="shared" si="72"/>
        <v>0</v>
      </c>
    </row>
    <row r="404" spans="1:1" x14ac:dyDescent="0.2">
      <c r="A404" s="34">
        <f t="shared" si="72"/>
        <v>0</v>
      </c>
    </row>
    <row r="405" spans="1:1" x14ac:dyDescent="0.2">
      <c r="A405" s="34">
        <f t="shared" si="72"/>
        <v>0</v>
      </c>
    </row>
    <row r="406" spans="1:1" x14ac:dyDescent="0.2">
      <c r="A406" s="34">
        <f t="shared" si="72"/>
        <v>0</v>
      </c>
    </row>
    <row r="407" spans="1:1" x14ac:dyDescent="0.2">
      <c r="A407" s="34">
        <f t="shared" si="72"/>
        <v>0</v>
      </c>
    </row>
    <row r="408" spans="1:1" x14ac:dyDescent="0.2">
      <c r="A408" s="34">
        <f t="shared" si="72"/>
        <v>0</v>
      </c>
    </row>
    <row r="409" spans="1:1" x14ac:dyDescent="0.2">
      <c r="A409" s="34">
        <f t="shared" si="72"/>
        <v>0</v>
      </c>
    </row>
    <row r="410" spans="1:1" x14ac:dyDescent="0.2">
      <c r="A410" s="34">
        <f t="shared" si="72"/>
        <v>0</v>
      </c>
    </row>
    <row r="411" spans="1:1" x14ac:dyDescent="0.2">
      <c r="A411" s="34">
        <f t="shared" si="72"/>
        <v>0</v>
      </c>
    </row>
    <row r="412" spans="1:1" x14ac:dyDescent="0.2">
      <c r="A412" s="34">
        <f t="shared" si="72"/>
        <v>0</v>
      </c>
    </row>
    <row r="413" spans="1:1" x14ac:dyDescent="0.2">
      <c r="A413" s="34">
        <f t="shared" si="72"/>
        <v>0</v>
      </c>
    </row>
    <row r="414" spans="1:1" x14ac:dyDescent="0.2">
      <c r="A414" s="34">
        <f t="shared" si="72"/>
        <v>0</v>
      </c>
    </row>
    <row r="415" spans="1:1" x14ac:dyDescent="0.2">
      <c r="A415" s="34">
        <f t="shared" si="72"/>
        <v>0</v>
      </c>
    </row>
    <row r="416" spans="1:1" x14ac:dyDescent="0.2">
      <c r="A416" s="34">
        <f t="shared" si="72"/>
        <v>0</v>
      </c>
    </row>
    <row r="417" spans="1:1" x14ac:dyDescent="0.2">
      <c r="A417" s="34">
        <f t="shared" si="72"/>
        <v>0</v>
      </c>
    </row>
    <row r="418" spans="1:1" x14ac:dyDescent="0.2">
      <c r="A418" s="34">
        <f t="shared" si="72"/>
        <v>0</v>
      </c>
    </row>
    <row r="419" spans="1:1" x14ac:dyDescent="0.2">
      <c r="A419" s="34">
        <f t="shared" si="72"/>
        <v>0</v>
      </c>
    </row>
    <row r="420" spans="1:1" x14ac:dyDescent="0.2">
      <c r="A420" s="34">
        <f t="shared" si="72"/>
        <v>0</v>
      </c>
    </row>
    <row r="421" spans="1:1" x14ac:dyDescent="0.2">
      <c r="A421" s="34">
        <f t="shared" si="72"/>
        <v>0</v>
      </c>
    </row>
    <row r="422" spans="1:1" x14ac:dyDescent="0.2">
      <c r="A422" s="34">
        <f t="shared" si="72"/>
        <v>0</v>
      </c>
    </row>
    <row r="423" spans="1:1" x14ac:dyDescent="0.2">
      <c r="A423" s="34">
        <f t="shared" si="72"/>
        <v>0</v>
      </c>
    </row>
    <row r="424" spans="1:1" x14ac:dyDescent="0.2">
      <c r="A424" s="34">
        <f t="shared" si="72"/>
        <v>0</v>
      </c>
    </row>
    <row r="425" spans="1:1" x14ac:dyDescent="0.2">
      <c r="A425" s="34">
        <f t="shared" si="72"/>
        <v>0</v>
      </c>
    </row>
    <row r="426" spans="1:1" x14ac:dyDescent="0.2">
      <c r="A426" s="34">
        <f t="shared" si="72"/>
        <v>0</v>
      </c>
    </row>
    <row r="427" spans="1:1" x14ac:dyDescent="0.2">
      <c r="A427" s="34">
        <f t="shared" si="72"/>
        <v>0</v>
      </c>
    </row>
    <row r="428" spans="1:1" x14ac:dyDescent="0.2">
      <c r="A428" s="34">
        <f t="shared" si="72"/>
        <v>0</v>
      </c>
    </row>
    <row r="429" spans="1:1" x14ac:dyDescent="0.2">
      <c r="A429" s="34">
        <f t="shared" si="72"/>
        <v>0</v>
      </c>
    </row>
    <row r="430" spans="1:1" x14ac:dyDescent="0.2">
      <c r="A430" s="34">
        <f t="shared" si="72"/>
        <v>0</v>
      </c>
    </row>
    <row r="431" spans="1:1" x14ac:dyDescent="0.2">
      <c r="A431" s="34">
        <f t="shared" si="72"/>
        <v>0</v>
      </c>
    </row>
    <row r="432" spans="1:1" x14ac:dyDescent="0.2">
      <c r="A432" s="34">
        <f t="shared" si="72"/>
        <v>0</v>
      </c>
    </row>
    <row r="433" spans="1:1" x14ac:dyDescent="0.2">
      <c r="A433" s="34">
        <f t="shared" si="72"/>
        <v>0</v>
      </c>
    </row>
    <row r="434" spans="1:1" x14ac:dyDescent="0.2">
      <c r="A434" s="34">
        <f t="shared" si="72"/>
        <v>0</v>
      </c>
    </row>
    <row r="435" spans="1:1" x14ac:dyDescent="0.2">
      <c r="A435" s="34">
        <f t="shared" si="72"/>
        <v>0</v>
      </c>
    </row>
    <row r="436" spans="1:1" x14ac:dyDescent="0.2">
      <c r="A436" s="34">
        <f t="shared" si="72"/>
        <v>0</v>
      </c>
    </row>
    <row r="437" spans="1:1" x14ac:dyDescent="0.2">
      <c r="A437" s="34">
        <f t="shared" si="72"/>
        <v>0</v>
      </c>
    </row>
    <row r="438" spans="1:1" x14ac:dyDescent="0.2">
      <c r="A438" s="34">
        <f t="shared" si="72"/>
        <v>0</v>
      </c>
    </row>
    <row r="439" spans="1:1" x14ac:dyDescent="0.2">
      <c r="A439" s="34">
        <f t="shared" si="72"/>
        <v>0</v>
      </c>
    </row>
    <row r="440" spans="1:1" x14ac:dyDescent="0.2">
      <c r="A440" s="34">
        <f t="shared" si="72"/>
        <v>0</v>
      </c>
    </row>
    <row r="441" spans="1:1" x14ac:dyDescent="0.2">
      <c r="A441" s="34">
        <f t="shared" si="72"/>
        <v>0</v>
      </c>
    </row>
    <row r="442" spans="1:1" x14ac:dyDescent="0.2">
      <c r="A442" s="34">
        <f t="shared" si="72"/>
        <v>0</v>
      </c>
    </row>
    <row r="443" spans="1:1" x14ac:dyDescent="0.2">
      <c r="A443" s="34">
        <f t="shared" si="72"/>
        <v>0</v>
      </c>
    </row>
    <row r="444" spans="1:1" x14ac:dyDescent="0.2">
      <c r="A444" s="34">
        <f t="shared" si="72"/>
        <v>0</v>
      </c>
    </row>
    <row r="445" spans="1:1" x14ac:dyDescent="0.2">
      <c r="A445" s="34">
        <f t="shared" si="72"/>
        <v>0</v>
      </c>
    </row>
    <row r="446" spans="1:1" x14ac:dyDescent="0.2">
      <c r="A446" s="34">
        <f t="shared" si="72"/>
        <v>0</v>
      </c>
    </row>
    <row r="447" spans="1:1" x14ac:dyDescent="0.2">
      <c r="A447" s="34">
        <f t="shared" si="72"/>
        <v>0</v>
      </c>
    </row>
    <row r="448" spans="1:1" x14ac:dyDescent="0.2">
      <c r="A448" s="34">
        <f t="shared" si="72"/>
        <v>0</v>
      </c>
    </row>
    <row r="449" spans="1:1" x14ac:dyDescent="0.2">
      <c r="A449" s="34">
        <f t="shared" si="72"/>
        <v>0</v>
      </c>
    </row>
    <row r="450" spans="1:1" x14ac:dyDescent="0.2">
      <c r="A450" s="34">
        <f t="shared" si="72"/>
        <v>0</v>
      </c>
    </row>
    <row r="451" spans="1:1" x14ac:dyDescent="0.2">
      <c r="A451" s="34">
        <f t="shared" si="72"/>
        <v>0</v>
      </c>
    </row>
    <row r="452" spans="1:1" x14ac:dyDescent="0.2">
      <c r="A452" s="34">
        <f t="shared" si="72"/>
        <v>0</v>
      </c>
    </row>
    <row r="453" spans="1:1" x14ac:dyDescent="0.2">
      <c r="A453" s="34">
        <f t="shared" si="72"/>
        <v>0</v>
      </c>
    </row>
    <row r="454" spans="1:1" x14ac:dyDescent="0.2">
      <c r="A454" s="34">
        <f t="shared" si="72"/>
        <v>0</v>
      </c>
    </row>
    <row r="455" spans="1:1" x14ac:dyDescent="0.2">
      <c r="A455" s="34">
        <f t="shared" si="72"/>
        <v>0</v>
      </c>
    </row>
    <row r="456" spans="1:1" x14ac:dyDescent="0.2">
      <c r="A456" s="34">
        <f t="shared" si="72"/>
        <v>0</v>
      </c>
    </row>
    <row r="457" spans="1:1" x14ac:dyDescent="0.2">
      <c r="A457" s="34">
        <f t="shared" si="72"/>
        <v>0</v>
      </c>
    </row>
    <row r="458" spans="1:1" x14ac:dyDescent="0.2">
      <c r="A458" s="34">
        <f t="shared" si="72"/>
        <v>0</v>
      </c>
    </row>
    <row r="459" spans="1:1" x14ac:dyDescent="0.2">
      <c r="A459" s="34">
        <f t="shared" si="72"/>
        <v>0</v>
      </c>
    </row>
    <row r="460" spans="1:1" x14ac:dyDescent="0.2">
      <c r="A460" s="34">
        <f t="shared" si="72"/>
        <v>0</v>
      </c>
    </row>
    <row r="461" spans="1:1" x14ac:dyDescent="0.2">
      <c r="A461" s="34">
        <f t="shared" si="72"/>
        <v>0</v>
      </c>
    </row>
    <row r="462" spans="1:1" x14ac:dyDescent="0.2">
      <c r="A462" s="34">
        <f t="shared" si="72"/>
        <v>0</v>
      </c>
    </row>
    <row r="463" spans="1:1" x14ac:dyDescent="0.2">
      <c r="A463" s="34">
        <f t="shared" ref="A463:A526" si="73">IF(A462=0,0,IF(A462=" ","",IF(A462-1&gt;0,A462-1,0)))</f>
        <v>0</v>
      </c>
    </row>
    <row r="464" spans="1:1" x14ac:dyDescent="0.2">
      <c r="A464" s="34">
        <f t="shared" si="73"/>
        <v>0</v>
      </c>
    </row>
    <row r="465" spans="1:1" x14ac:dyDescent="0.2">
      <c r="A465" s="34">
        <f t="shared" si="73"/>
        <v>0</v>
      </c>
    </row>
    <row r="466" spans="1:1" x14ac:dyDescent="0.2">
      <c r="A466" s="34">
        <f t="shared" si="73"/>
        <v>0</v>
      </c>
    </row>
    <row r="467" spans="1:1" x14ac:dyDescent="0.2">
      <c r="A467" s="34">
        <f t="shared" si="73"/>
        <v>0</v>
      </c>
    </row>
    <row r="468" spans="1:1" x14ac:dyDescent="0.2">
      <c r="A468" s="34">
        <f t="shared" si="73"/>
        <v>0</v>
      </c>
    </row>
    <row r="469" spans="1:1" x14ac:dyDescent="0.2">
      <c r="A469" s="34">
        <f t="shared" si="73"/>
        <v>0</v>
      </c>
    </row>
    <row r="470" spans="1:1" x14ac:dyDescent="0.2">
      <c r="A470" s="34">
        <f t="shared" si="73"/>
        <v>0</v>
      </c>
    </row>
    <row r="471" spans="1:1" x14ac:dyDescent="0.2">
      <c r="A471" s="34">
        <f t="shared" si="73"/>
        <v>0</v>
      </c>
    </row>
    <row r="472" spans="1:1" x14ac:dyDescent="0.2">
      <c r="A472" s="34">
        <f t="shared" si="73"/>
        <v>0</v>
      </c>
    </row>
    <row r="473" spans="1:1" x14ac:dyDescent="0.2">
      <c r="A473" s="34">
        <f t="shared" si="73"/>
        <v>0</v>
      </c>
    </row>
    <row r="474" spans="1:1" x14ac:dyDescent="0.2">
      <c r="A474" s="34">
        <f t="shared" si="73"/>
        <v>0</v>
      </c>
    </row>
    <row r="475" spans="1:1" x14ac:dyDescent="0.2">
      <c r="A475" s="34">
        <f t="shared" si="73"/>
        <v>0</v>
      </c>
    </row>
    <row r="476" spans="1:1" x14ac:dyDescent="0.2">
      <c r="A476" s="34">
        <f t="shared" si="73"/>
        <v>0</v>
      </c>
    </row>
    <row r="477" spans="1:1" x14ac:dyDescent="0.2">
      <c r="A477" s="34">
        <f t="shared" si="73"/>
        <v>0</v>
      </c>
    </row>
    <row r="478" spans="1:1" x14ac:dyDescent="0.2">
      <c r="A478" s="34">
        <f t="shared" si="73"/>
        <v>0</v>
      </c>
    </row>
    <row r="479" spans="1:1" x14ac:dyDescent="0.2">
      <c r="A479" s="34">
        <f t="shared" si="73"/>
        <v>0</v>
      </c>
    </row>
    <row r="480" spans="1:1" x14ac:dyDescent="0.2">
      <c r="A480" s="34">
        <f t="shared" si="73"/>
        <v>0</v>
      </c>
    </row>
    <row r="481" spans="1:1" x14ac:dyDescent="0.2">
      <c r="A481" s="34">
        <f t="shared" si="73"/>
        <v>0</v>
      </c>
    </row>
    <row r="482" spans="1:1" x14ac:dyDescent="0.2">
      <c r="A482" s="34">
        <f t="shared" si="73"/>
        <v>0</v>
      </c>
    </row>
    <row r="483" spans="1:1" x14ac:dyDescent="0.2">
      <c r="A483" s="34">
        <f t="shared" si="73"/>
        <v>0</v>
      </c>
    </row>
    <row r="484" spans="1:1" x14ac:dyDescent="0.2">
      <c r="A484" s="34">
        <f t="shared" si="73"/>
        <v>0</v>
      </c>
    </row>
    <row r="485" spans="1:1" x14ac:dyDescent="0.2">
      <c r="A485" s="34">
        <f t="shared" si="73"/>
        <v>0</v>
      </c>
    </row>
    <row r="486" spans="1:1" x14ac:dyDescent="0.2">
      <c r="A486" s="34">
        <f t="shared" si="73"/>
        <v>0</v>
      </c>
    </row>
    <row r="487" spans="1:1" x14ac:dyDescent="0.2">
      <c r="A487" s="34">
        <f t="shared" si="73"/>
        <v>0</v>
      </c>
    </row>
    <row r="488" spans="1:1" x14ac:dyDescent="0.2">
      <c r="A488" s="34">
        <f t="shared" si="73"/>
        <v>0</v>
      </c>
    </row>
    <row r="489" spans="1:1" x14ac:dyDescent="0.2">
      <c r="A489" s="34">
        <f t="shared" si="73"/>
        <v>0</v>
      </c>
    </row>
    <row r="490" spans="1:1" x14ac:dyDescent="0.2">
      <c r="A490" s="34">
        <f t="shared" si="73"/>
        <v>0</v>
      </c>
    </row>
    <row r="491" spans="1:1" x14ac:dyDescent="0.2">
      <c r="A491" s="34">
        <f t="shared" si="73"/>
        <v>0</v>
      </c>
    </row>
    <row r="492" spans="1:1" x14ac:dyDescent="0.2">
      <c r="A492" s="34">
        <f t="shared" si="73"/>
        <v>0</v>
      </c>
    </row>
    <row r="493" spans="1:1" x14ac:dyDescent="0.2">
      <c r="A493" s="34">
        <f t="shared" si="73"/>
        <v>0</v>
      </c>
    </row>
    <row r="494" spans="1:1" x14ac:dyDescent="0.2">
      <c r="A494" s="34">
        <f t="shared" si="73"/>
        <v>0</v>
      </c>
    </row>
    <row r="495" spans="1:1" x14ac:dyDescent="0.2">
      <c r="A495" s="34">
        <f t="shared" si="73"/>
        <v>0</v>
      </c>
    </row>
    <row r="496" spans="1:1" x14ac:dyDescent="0.2">
      <c r="A496" s="34">
        <f t="shared" si="73"/>
        <v>0</v>
      </c>
    </row>
    <row r="497" spans="1:1" x14ac:dyDescent="0.2">
      <c r="A497" s="34">
        <f t="shared" si="73"/>
        <v>0</v>
      </c>
    </row>
    <row r="498" spans="1:1" x14ac:dyDescent="0.2">
      <c r="A498" s="34">
        <f t="shared" si="73"/>
        <v>0</v>
      </c>
    </row>
    <row r="499" spans="1:1" x14ac:dyDescent="0.2">
      <c r="A499" s="34">
        <f t="shared" si="73"/>
        <v>0</v>
      </c>
    </row>
    <row r="500" spans="1:1" x14ac:dyDescent="0.2">
      <c r="A500" s="34">
        <f t="shared" si="73"/>
        <v>0</v>
      </c>
    </row>
    <row r="501" spans="1:1" x14ac:dyDescent="0.2">
      <c r="A501" s="34">
        <f t="shared" si="73"/>
        <v>0</v>
      </c>
    </row>
    <row r="502" spans="1:1" x14ac:dyDescent="0.2">
      <c r="A502" s="34">
        <f t="shared" si="73"/>
        <v>0</v>
      </c>
    </row>
    <row r="503" spans="1:1" x14ac:dyDescent="0.2">
      <c r="A503" s="34">
        <f t="shared" si="73"/>
        <v>0</v>
      </c>
    </row>
    <row r="504" spans="1:1" x14ac:dyDescent="0.2">
      <c r="A504" s="34">
        <f t="shared" si="73"/>
        <v>0</v>
      </c>
    </row>
    <row r="505" spans="1:1" x14ac:dyDescent="0.2">
      <c r="A505" s="34">
        <f t="shared" si="73"/>
        <v>0</v>
      </c>
    </row>
    <row r="506" spans="1:1" x14ac:dyDescent="0.2">
      <c r="A506" s="34">
        <f t="shared" si="73"/>
        <v>0</v>
      </c>
    </row>
    <row r="507" spans="1:1" x14ac:dyDescent="0.2">
      <c r="A507" s="34">
        <f t="shared" si="73"/>
        <v>0</v>
      </c>
    </row>
    <row r="508" spans="1:1" x14ac:dyDescent="0.2">
      <c r="A508" s="34">
        <f t="shared" si="73"/>
        <v>0</v>
      </c>
    </row>
    <row r="509" spans="1:1" x14ac:dyDescent="0.2">
      <c r="A509" s="34">
        <f t="shared" si="73"/>
        <v>0</v>
      </c>
    </row>
    <row r="510" spans="1:1" x14ac:dyDescent="0.2">
      <c r="A510" s="34">
        <f t="shared" si="73"/>
        <v>0</v>
      </c>
    </row>
    <row r="511" spans="1:1" x14ac:dyDescent="0.2">
      <c r="A511" s="34">
        <f t="shared" si="73"/>
        <v>0</v>
      </c>
    </row>
    <row r="512" spans="1:1" x14ac:dyDescent="0.2">
      <c r="A512" s="34">
        <f t="shared" si="73"/>
        <v>0</v>
      </c>
    </row>
    <row r="513" spans="1:1" x14ac:dyDescent="0.2">
      <c r="A513" s="34">
        <f t="shared" si="73"/>
        <v>0</v>
      </c>
    </row>
    <row r="514" spans="1:1" x14ac:dyDescent="0.2">
      <c r="A514" s="34">
        <f t="shared" si="73"/>
        <v>0</v>
      </c>
    </row>
    <row r="515" spans="1:1" x14ac:dyDescent="0.2">
      <c r="A515" s="34">
        <f t="shared" si="73"/>
        <v>0</v>
      </c>
    </row>
    <row r="516" spans="1:1" x14ac:dyDescent="0.2">
      <c r="A516" s="34">
        <f t="shared" si="73"/>
        <v>0</v>
      </c>
    </row>
    <row r="517" spans="1:1" x14ac:dyDescent="0.2">
      <c r="A517" s="34">
        <f t="shared" si="73"/>
        <v>0</v>
      </c>
    </row>
    <row r="518" spans="1:1" x14ac:dyDescent="0.2">
      <c r="A518" s="34">
        <f t="shared" si="73"/>
        <v>0</v>
      </c>
    </row>
    <row r="519" spans="1:1" x14ac:dyDescent="0.2">
      <c r="A519" s="34">
        <f t="shared" si="73"/>
        <v>0</v>
      </c>
    </row>
    <row r="520" spans="1:1" x14ac:dyDescent="0.2">
      <c r="A520" s="34">
        <f t="shared" si="73"/>
        <v>0</v>
      </c>
    </row>
    <row r="521" spans="1:1" x14ac:dyDescent="0.2">
      <c r="A521" s="34">
        <f t="shared" si="73"/>
        <v>0</v>
      </c>
    </row>
    <row r="522" spans="1:1" x14ac:dyDescent="0.2">
      <c r="A522" s="34">
        <f t="shared" si="73"/>
        <v>0</v>
      </c>
    </row>
    <row r="523" spans="1:1" x14ac:dyDescent="0.2">
      <c r="A523" s="34">
        <f t="shared" si="73"/>
        <v>0</v>
      </c>
    </row>
    <row r="524" spans="1:1" x14ac:dyDescent="0.2">
      <c r="A524" s="34">
        <f t="shared" si="73"/>
        <v>0</v>
      </c>
    </row>
    <row r="525" spans="1:1" x14ac:dyDescent="0.2">
      <c r="A525" s="34">
        <f t="shared" si="73"/>
        <v>0</v>
      </c>
    </row>
    <row r="526" spans="1:1" x14ac:dyDescent="0.2">
      <c r="A526" s="34">
        <f t="shared" si="73"/>
        <v>0</v>
      </c>
    </row>
    <row r="527" spans="1:1" x14ac:dyDescent="0.2">
      <c r="A527" s="34">
        <f t="shared" ref="A527:A590" si="74">IF(A526=0,0,IF(A526=" ","",IF(A526-1&gt;0,A526-1,0)))</f>
        <v>0</v>
      </c>
    </row>
    <row r="528" spans="1:1" x14ac:dyDescent="0.2">
      <c r="A528" s="34">
        <f t="shared" si="74"/>
        <v>0</v>
      </c>
    </row>
    <row r="529" spans="1:1" x14ac:dyDescent="0.2">
      <c r="A529" s="34">
        <f t="shared" si="74"/>
        <v>0</v>
      </c>
    </row>
    <row r="530" spans="1:1" x14ac:dyDescent="0.2">
      <c r="A530" s="34">
        <f t="shared" si="74"/>
        <v>0</v>
      </c>
    </row>
    <row r="531" spans="1:1" x14ac:dyDescent="0.2">
      <c r="A531" s="34">
        <f t="shared" si="74"/>
        <v>0</v>
      </c>
    </row>
    <row r="532" spans="1:1" x14ac:dyDescent="0.2">
      <c r="A532" s="34">
        <f t="shared" si="74"/>
        <v>0</v>
      </c>
    </row>
    <row r="533" spans="1:1" x14ac:dyDescent="0.2">
      <c r="A533" s="34">
        <f t="shared" si="74"/>
        <v>0</v>
      </c>
    </row>
    <row r="534" spans="1:1" x14ac:dyDescent="0.2">
      <c r="A534" s="34">
        <f t="shared" si="74"/>
        <v>0</v>
      </c>
    </row>
    <row r="535" spans="1:1" x14ac:dyDescent="0.2">
      <c r="A535" s="34">
        <f t="shared" si="74"/>
        <v>0</v>
      </c>
    </row>
    <row r="536" spans="1:1" x14ac:dyDescent="0.2">
      <c r="A536" s="34">
        <f t="shared" si="74"/>
        <v>0</v>
      </c>
    </row>
    <row r="537" spans="1:1" x14ac:dyDescent="0.2">
      <c r="A537" s="34">
        <f t="shared" si="74"/>
        <v>0</v>
      </c>
    </row>
    <row r="538" spans="1:1" x14ac:dyDescent="0.2">
      <c r="A538" s="34">
        <f t="shared" si="74"/>
        <v>0</v>
      </c>
    </row>
    <row r="539" spans="1:1" x14ac:dyDescent="0.2">
      <c r="A539" s="34">
        <f t="shared" si="74"/>
        <v>0</v>
      </c>
    </row>
    <row r="540" spans="1:1" x14ac:dyDescent="0.2">
      <c r="A540" s="34">
        <f t="shared" si="74"/>
        <v>0</v>
      </c>
    </row>
    <row r="541" spans="1:1" x14ac:dyDescent="0.2">
      <c r="A541" s="34">
        <f t="shared" si="74"/>
        <v>0</v>
      </c>
    </row>
    <row r="542" spans="1:1" x14ac:dyDescent="0.2">
      <c r="A542" s="34">
        <f t="shared" si="74"/>
        <v>0</v>
      </c>
    </row>
    <row r="543" spans="1:1" x14ac:dyDescent="0.2">
      <c r="A543" s="34">
        <f t="shared" si="74"/>
        <v>0</v>
      </c>
    </row>
    <row r="544" spans="1:1" x14ac:dyDescent="0.2">
      <c r="A544" s="34">
        <f t="shared" si="74"/>
        <v>0</v>
      </c>
    </row>
    <row r="545" spans="1:1" x14ac:dyDescent="0.2">
      <c r="A545" s="34">
        <f t="shared" si="74"/>
        <v>0</v>
      </c>
    </row>
    <row r="546" spans="1:1" x14ac:dyDescent="0.2">
      <c r="A546" s="34">
        <f t="shared" si="74"/>
        <v>0</v>
      </c>
    </row>
    <row r="547" spans="1:1" x14ac:dyDescent="0.2">
      <c r="A547" s="34">
        <f t="shared" si="74"/>
        <v>0</v>
      </c>
    </row>
    <row r="548" spans="1:1" x14ac:dyDescent="0.2">
      <c r="A548" s="34">
        <f t="shared" si="74"/>
        <v>0</v>
      </c>
    </row>
    <row r="549" spans="1:1" x14ac:dyDescent="0.2">
      <c r="A549" s="34">
        <f t="shared" si="74"/>
        <v>0</v>
      </c>
    </row>
    <row r="550" spans="1:1" x14ac:dyDescent="0.2">
      <c r="A550" s="34">
        <f t="shared" si="74"/>
        <v>0</v>
      </c>
    </row>
    <row r="551" spans="1:1" x14ac:dyDescent="0.2">
      <c r="A551" s="34">
        <f t="shared" si="74"/>
        <v>0</v>
      </c>
    </row>
    <row r="552" spans="1:1" x14ac:dyDescent="0.2">
      <c r="A552" s="34">
        <f t="shared" si="74"/>
        <v>0</v>
      </c>
    </row>
    <row r="553" spans="1:1" x14ac:dyDescent="0.2">
      <c r="A553" s="34">
        <f t="shared" si="74"/>
        <v>0</v>
      </c>
    </row>
    <row r="554" spans="1:1" x14ac:dyDescent="0.2">
      <c r="A554" s="34">
        <f t="shared" si="74"/>
        <v>0</v>
      </c>
    </row>
    <row r="555" spans="1:1" x14ac:dyDescent="0.2">
      <c r="A555" s="34">
        <f t="shared" si="74"/>
        <v>0</v>
      </c>
    </row>
    <row r="556" spans="1:1" x14ac:dyDescent="0.2">
      <c r="A556" s="34">
        <f t="shared" si="74"/>
        <v>0</v>
      </c>
    </row>
    <row r="557" spans="1:1" x14ac:dyDescent="0.2">
      <c r="A557" s="34">
        <f t="shared" si="74"/>
        <v>0</v>
      </c>
    </row>
    <row r="558" spans="1:1" x14ac:dyDescent="0.2">
      <c r="A558" s="34">
        <f t="shared" si="74"/>
        <v>0</v>
      </c>
    </row>
    <row r="559" spans="1:1" x14ac:dyDescent="0.2">
      <c r="A559" s="34">
        <f t="shared" si="74"/>
        <v>0</v>
      </c>
    </row>
    <row r="560" spans="1:1" x14ac:dyDescent="0.2">
      <c r="A560" s="34">
        <f t="shared" si="74"/>
        <v>0</v>
      </c>
    </row>
    <row r="561" spans="1:1" x14ac:dyDescent="0.2">
      <c r="A561" s="34">
        <f t="shared" si="74"/>
        <v>0</v>
      </c>
    </row>
    <row r="562" spans="1:1" x14ac:dyDescent="0.2">
      <c r="A562" s="34">
        <f t="shared" si="74"/>
        <v>0</v>
      </c>
    </row>
    <row r="563" spans="1:1" x14ac:dyDescent="0.2">
      <c r="A563" s="34">
        <f t="shared" si="74"/>
        <v>0</v>
      </c>
    </row>
    <row r="564" spans="1:1" x14ac:dyDescent="0.2">
      <c r="A564" s="34">
        <f t="shared" si="74"/>
        <v>0</v>
      </c>
    </row>
    <row r="565" spans="1:1" x14ac:dyDescent="0.2">
      <c r="A565" s="34">
        <f t="shared" si="74"/>
        <v>0</v>
      </c>
    </row>
    <row r="566" spans="1:1" x14ac:dyDescent="0.2">
      <c r="A566" s="34">
        <f t="shared" si="74"/>
        <v>0</v>
      </c>
    </row>
    <row r="567" spans="1:1" x14ac:dyDescent="0.2">
      <c r="A567" s="34">
        <f t="shared" si="74"/>
        <v>0</v>
      </c>
    </row>
    <row r="568" spans="1:1" x14ac:dyDescent="0.2">
      <c r="A568" s="34">
        <f t="shared" si="74"/>
        <v>0</v>
      </c>
    </row>
    <row r="569" spans="1:1" x14ac:dyDescent="0.2">
      <c r="A569" s="34">
        <f t="shared" si="74"/>
        <v>0</v>
      </c>
    </row>
    <row r="570" spans="1:1" x14ac:dyDescent="0.2">
      <c r="A570" s="34">
        <f t="shared" si="74"/>
        <v>0</v>
      </c>
    </row>
    <row r="571" spans="1:1" x14ac:dyDescent="0.2">
      <c r="A571" s="34">
        <f t="shared" si="74"/>
        <v>0</v>
      </c>
    </row>
    <row r="572" spans="1:1" x14ac:dyDescent="0.2">
      <c r="A572" s="34">
        <f t="shared" si="74"/>
        <v>0</v>
      </c>
    </row>
    <row r="573" spans="1:1" x14ac:dyDescent="0.2">
      <c r="A573" s="34">
        <f t="shared" si="74"/>
        <v>0</v>
      </c>
    </row>
    <row r="574" spans="1:1" x14ac:dyDescent="0.2">
      <c r="A574" s="34">
        <f t="shared" si="74"/>
        <v>0</v>
      </c>
    </row>
    <row r="575" spans="1:1" x14ac:dyDescent="0.2">
      <c r="A575" s="34">
        <f t="shared" si="74"/>
        <v>0</v>
      </c>
    </row>
    <row r="576" spans="1:1" x14ac:dyDescent="0.2">
      <c r="A576" s="34">
        <f t="shared" si="74"/>
        <v>0</v>
      </c>
    </row>
    <row r="577" spans="1:1" x14ac:dyDescent="0.2">
      <c r="A577" s="34">
        <f t="shared" si="74"/>
        <v>0</v>
      </c>
    </row>
    <row r="578" spans="1:1" x14ac:dyDescent="0.2">
      <c r="A578" s="34">
        <f t="shared" si="74"/>
        <v>0</v>
      </c>
    </row>
    <row r="579" spans="1:1" x14ac:dyDescent="0.2">
      <c r="A579" s="34">
        <f t="shared" si="74"/>
        <v>0</v>
      </c>
    </row>
    <row r="580" spans="1:1" x14ac:dyDescent="0.2">
      <c r="A580" s="34">
        <f t="shared" si="74"/>
        <v>0</v>
      </c>
    </row>
    <row r="581" spans="1:1" x14ac:dyDescent="0.2">
      <c r="A581" s="34">
        <f t="shared" si="74"/>
        <v>0</v>
      </c>
    </row>
    <row r="582" spans="1:1" x14ac:dyDescent="0.2">
      <c r="A582" s="34">
        <f t="shared" si="74"/>
        <v>0</v>
      </c>
    </row>
    <row r="583" spans="1:1" x14ac:dyDescent="0.2">
      <c r="A583" s="34">
        <f t="shared" si="74"/>
        <v>0</v>
      </c>
    </row>
    <row r="584" spans="1:1" x14ac:dyDescent="0.2">
      <c r="A584" s="34">
        <f t="shared" si="74"/>
        <v>0</v>
      </c>
    </row>
    <row r="585" spans="1:1" x14ac:dyDescent="0.2">
      <c r="A585" s="34">
        <f t="shared" si="74"/>
        <v>0</v>
      </c>
    </row>
    <row r="586" spans="1:1" x14ac:dyDescent="0.2">
      <c r="A586" s="34">
        <f t="shared" si="74"/>
        <v>0</v>
      </c>
    </row>
    <row r="587" spans="1:1" x14ac:dyDescent="0.2">
      <c r="A587" s="34">
        <f t="shared" si="74"/>
        <v>0</v>
      </c>
    </row>
    <row r="588" spans="1:1" x14ac:dyDescent="0.2">
      <c r="A588" s="34">
        <f t="shared" si="74"/>
        <v>0</v>
      </c>
    </row>
    <row r="589" spans="1:1" x14ac:dyDescent="0.2">
      <c r="A589" s="34">
        <f t="shared" si="74"/>
        <v>0</v>
      </c>
    </row>
    <row r="590" spans="1:1" x14ac:dyDescent="0.2">
      <c r="A590" s="34">
        <f t="shared" si="74"/>
        <v>0</v>
      </c>
    </row>
    <row r="591" spans="1:1" x14ac:dyDescent="0.2">
      <c r="A591" s="34">
        <f t="shared" ref="A591:A654" si="75">IF(A590=0,0,IF(A590=" ","",IF(A590-1&gt;0,A590-1,0)))</f>
        <v>0</v>
      </c>
    </row>
    <row r="592" spans="1:1" x14ac:dyDescent="0.2">
      <c r="A592" s="34">
        <f t="shared" si="75"/>
        <v>0</v>
      </c>
    </row>
    <row r="593" spans="1:1" x14ac:dyDescent="0.2">
      <c r="A593" s="34">
        <f t="shared" si="75"/>
        <v>0</v>
      </c>
    </row>
    <row r="594" spans="1:1" x14ac:dyDescent="0.2">
      <c r="A594" s="34">
        <f t="shared" si="75"/>
        <v>0</v>
      </c>
    </row>
    <row r="595" spans="1:1" x14ac:dyDescent="0.2">
      <c r="A595" s="34">
        <f t="shared" si="75"/>
        <v>0</v>
      </c>
    </row>
    <row r="596" spans="1:1" x14ac:dyDescent="0.2">
      <c r="A596" s="34">
        <f t="shared" si="75"/>
        <v>0</v>
      </c>
    </row>
    <row r="597" spans="1:1" x14ac:dyDescent="0.2">
      <c r="A597" s="34">
        <f t="shared" si="75"/>
        <v>0</v>
      </c>
    </row>
    <row r="598" spans="1:1" x14ac:dyDescent="0.2">
      <c r="A598" s="34">
        <f t="shared" si="75"/>
        <v>0</v>
      </c>
    </row>
    <row r="599" spans="1:1" x14ac:dyDescent="0.2">
      <c r="A599" s="34">
        <f t="shared" si="75"/>
        <v>0</v>
      </c>
    </row>
    <row r="600" spans="1:1" x14ac:dyDescent="0.2">
      <c r="A600" s="34">
        <f t="shared" si="75"/>
        <v>0</v>
      </c>
    </row>
    <row r="601" spans="1:1" x14ac:dyDescent="0.2">
      <c r="A601" s="34">
        <f t="shared" si="75"/>
        <v>0</v>
      </c>
    </row>
    <row r="602" spans="1:1" x14ac:dyDescent="0.2">
      <c r="A602" s="34">
        <f t="shared" si="75"/>
        <v>0</v>
      </c>
    </row>
    <row r="603" spans="1:1" x14ac:dyDescent="0.2">
      <c r="A603" s="34">
        <f t="shared" si="75"/>
        <v>0</v>
      </c>
    </row>
    <row r="604" spans="1:1" x14ac:dyDescent="0.2">
      <c r="A604" s="34">
        <f t="shared" si="75"/>
        <v>0</v>
      </c>
    </row>
    <row r="605" spans="1:1" x14ac:dyDescent="0.2">
      <c r="A605" s="34">
        <f t="shared" si="75"/>
        <v>0</v>
      </c>
    </row>
    <row r="606" spans="1:1" x14ac:dyDescent="0.2">
      <c r="A606" s="34">
        <f t="shared" si="75"/>
        <v>0</v>
      </c>
    </row>
    <row r="607" spans="1:1" x14ac:dyDescent="0.2">
      <c r="A607" s="34">
        <f t="shared" si="75"/>
        <v>0</v>
      </c>
    </row>
    <row r="608" spans="1:1" x14ac:dyDescent="0.2">
      <c r="A608" s="34">
        <f t="shared" si="75"/>
        <v>0</v>
      </c>
    </row>
    <row r="609" spans="1:1" x14ac:dyDescent="0.2">
      <c r="A609" s="34">
        <f t="shared" si="75"/>
        <v>0</v>
      </c>
    </row>
    <row r="610" spans="1:1" x14ac:dyDescent="0.2">
      <c r="A610" s="34">
        <f t="shared" si="75"/>
        <v>0</v>
      </c>
    </row>
    <row r="611" spans="1:1" x14ac:dyDescent="0.2">
      <c r="A611" s="34">
        <f t="shared" si="75"/>
        <v>0</v>
      </c>
    </row>
    <row r="612" spans="1:1" x14ac:dyDescent="0.2">
      <c r="A612" s="34">
        <f t="shared" si="75"/>
        <v>0</v>
      </c>
    </row>
    <row r="613" spans="1:1" x14ac:dyDescent="0.2">
      <c r="A613" s="34">
        <f t="shared" si="75"/>
        <v>0</v>
      </c>
    </row>
    <row r="614" spans="1:1" x14ac:dyDescent="0.2">
      <c r="A614" s="34">
        <f t="shared" si="75"/>
        <v>0</v>
      </c>
    </row>
    <row r="615" spans="1:1" x14ac:dyDescent="0.2">
      <c r="A615" s="34">
        <f t="shared" si="75"/>
        <v>0</v>
      </c>
    </row>
    <row r="616" spans="1:1" x14ac:dyDescent="0.2">
      <c r="A616" s="34">
        <f t="shared" si="75"/>
        <v>0</v>
      </c>
    </row>
    <row r="617" spans="1:1" x14ac:dyDescent="0.2">
      <c r="A617" s="34">
        <f t="shared" si="75"/>
        <v>0</v>
      </c>
    </row>
    <row r="618" spans="1:1" x14ac:dyDescent="0.2">
      <c r="A618" s="34">
        <f t="shared" si="75"/>
        <v>0</v>
      </c>
    </row>
    <row r="619" spans="1:1" x14ac:dyDescent="0.2">
      <c r="A619" s="34">
        <f t="shared" si="75"/>
        <v>0</v>
      </c>
    </row>
    <row r="620" spans="1:1" x14ac:dyDescent="0.2">
      <c r="A620" s="34">
        <f t="shared" si="75"/>
        <v>0</v>
      </c>
    </row>
    <row r="621" spans="1:1" x14ac:dyDescent="0.2">
      <c r="A621" s="34">
        <f t="shared" si="75"/>
        <v>0</v>
      </c>
    </row>
    <row r="622" spans="1:1" x14ac:dyDescent="0.2">
      <c r="A622" s="34">
        <f t="shared" si="75"/>
        <v>0</v>
      </c>
    </row>
    <row r="623" spans="1:1" x14ac:dyDescent="0.2">
      <c r="A623" s="34">
        <f t="shared" si="75"/>
        <v>0</v>
      </c>
    </row>
    <row r="624" spans="1:1" x14ac:dyDescent="0.2">
      <c r="A624" s="34">
        <f t="shared" si="75"/>
        <v>0</v>
      </c>
    </row>
    <row r="625" spans="1:1" x14ac:dyDescent="0.2">
      <c r="A625" s="34">
        <f t="shared" si="75"/>
        <v>0</v>
      </c>
    </row>
    <row r="626" spans="1:1" x14ac:dyDescent="0.2">
      <c r="A626" s="34">
        <f t="shared" si="75"/>
        <v>0</v>
      </c>
    </row>
    <row r="627" spans="1:1" x14ac:dyDescent="0.2">
      <c r="A627" s="34">
        <f t="shared" si="75"/>
        <v>0</v>
      </c>
    </row>
    <row r="628" spans="1:1" x14ac:dyDescent="0.2">
      <c r="A628" s="34">
        <f t="shared" si="75"/>
        <v>0</v>
      </c>
    </row>
    <row r="629" spans="1:1" x14ac:dyDescent="0.2">
      <c r="A629" s="34">
        <f t="shared" si="75"/>
        <v>0</v>
      </c>
    </row>
    <row r="630" spans="1:1" x14ac:dyDescent="0.2">
      <c r="A630" s="34">
        <f t="shared" si="75"/>
        <v>0</v>
      </c>
    </row>
    <row r="631" spans="1:1" x14ac:dyDescent="0.2">
      <c r="A631" s="34">
        <f t="shared" si="75"/>
        <v>0</v>
      </c>
    </row>
    <row r="632" spans="1:1" x14ac:dyDescent="0.2">
      <c r="A632" s="34">
        <f t="shared" si="75"/>
        <v>0</v>
      </c>
    </row>
    <row r="633" spans="1:1" x14ac:dyDescent="0.2">
      <c r="A633" s="34">
        <f t="shared" si="75"/>
        <v>0</v>
      </c>
    </row>
    <row r="634" spans="1:1" x14ac:dyDescent="0.2">
      <c r="A634" s="34">
        <f t="shared" si="75"/>
        <v>0</v>
      </c>
    </row>
    <row r="635" spans="1:1" x14ac:dyDescent="0.2">
      <c r="A635" s="34">
        <f t="shared" si="75"/>
        <v>0</v>
      </c>
    </row>
    <row r="636" spans="1:1" x14ac:dyDescent="0.2">
      <c r="A636" s="34">
        <f t="shared" si="75"/>
        <v>0</v>
      </c>
    </row>
    <row r="637" spans="1:1" x14ac:dyDescent="0.2">
      <c r="A637" s="34">
        <f t="shared" si="75"/>
        <v>0</v>
      </c>
    </row>
    <row r="638" spans="1:1" x14ac:dyDescent="0.2">
      <c r="A638" s="34">
        <f t="shared" si="75"/>
        <v>0</v>
      </c>
    </row>
    <row r="639" spans="1:1" x14ac:dyDescent="0.2">
      <c r="A639" s="34">
        <f t="shared" si="75"/>
        <v>0</v>
      </c>
    </row>
    <row r="640" spans="1:1" x14ac:dyDescent="0.2">
      <c r="A640" s="34">
        <f t="shared" si="75"/>
        <v>0</v>
      </c>
    </row>
    <row r="641" spans="1:1" x14ac:dyDescent="0.2">
      <c r="A641" s="34">
        <f t="shared" si="75"/>
        <v>0</v>
      </c>
    </row>
    <row r="642" spans="1:1" x14ac:dyDescent="0.2">
      <c r="A642" s="34">
        <f t="shared" si="75"/>
        <v>0</v>
      </c>
    </row>
    <row r="643" spans="1:1" x14ac:dyDescent="0.2">
      <c r="A643" s="34">
        <f t="shared" si="75"/>
        <v>0</v>
      </c>
    </row>
    <row r="644" spans="1:1" x14ac:dyDescent="0.2">
      <c r="A644" s="34">
        <f t="shared" si="75"/>
        <v>0</v>
      </c>
    </row>
    <row r="645" spans="1:1" x14ac:dyDescent="0.2">
      <c r="A645" s="34">
        <f t="shared" si="75"/>
        <v>0</v>
      </c>
    </row>
    <row r="646" spans="1:1" x14ac:dyDescent="0.2">
      <c r="A646" s="34">
        <f t="shared" si="75"/>
        <v>0</v>
      </c>
    </row>
    <row r="647" spans="1:1" x14ac:dyDescent="0.2">
      <c r="A647" s="34">
        <f t="shared" si="75"/>
        <v>0</v>
      </c>
    </row>
    <row r="648" spans="1:1" x14ac:dyDescent="0.2">
      <c r="A648" s="34">
        <f t="shared" si="75"/>
        <v>0</v>
      </c>
    </row>
    <row r="649" spans="1:1" x14ac:dyDescent="0.2">
      <c r="A649" s="34">
        <f t="shared" si="75"/>
        <v>0</v>
      </c>
    </row>
    <row r="650" spans="1:1" x14ac:dyDescent="0.2">
      <c r="A650" s="34">
        <f t="shared" si="75"/>
        <v>0</v>
      </c>
    </row>
    <row r="651" spans="1:1" x14ac:dyDescent="0.2">
      <c r="A651" s="34">
        <f t="shared" si="75"/>
        <v>0</v>
      </c>
    </row>
    <row r="652" spans="1:1" x14ac:dyDescent="0.2">
      <c r="A652" s="34">
        <f t="shared" si="75"/>
        <v>0</v>
      </c>
    </row>
    <row r="653" spans="1:1" x14ac:dyDescent="0.2">
      <c r="A653" s="34">
        <f t="shared" si="75"/>
        <v>0</v>
      </c>
    </row>
    <row r="654" spans="1:1" x14ac:dyDescent="0.2">
      <c r="A654" s="34">
        <f t="shared" si="75"/>
        <v>0</v>
      </c>
    </row>
    <row r="655" spans="1:1" x14ac:dyDescent="0.2">
      <c r="A655" s="34">
        <f t="shared" ref="A655:A718" si="76">IF(A654=0,0,IF(A654=" ","",IF(A654-1&gt;0,A654-1,0)))</f>
        <v>0</v>
      </c>
    </row>
    <row r="656" spans="1:1" x14ac:dyDescent="0.2">
      <c r="A656" s="34">
        <f t="shared" si="76"/>
        <v>0</v>
      </c>
    </row>
    <row r="657" spans="1:1" x14ac:dyDescent="0.2">
      <c r="A657" s="34">
        <f t="shared" si="76"/>
        <v>0</v>
      </c>
    </row>
    <row r="658" spans="1:1" x14ac:dyDescent="0.2">
      <c r="A658" s="34">
        <f t="shared" si="76"/>
        <v>0</v>
      </c>
    </row>
    <row r="659" spans="1:1" x14ac:dyDescent="0.2">
      <c r="A659" s="34">
        <f t="shared" si="76"/>
        <v>0</v>
      </c>
    </row>
    <row r="660" spans="1:1" x14ac:dyDescent="0.2">
      <c r="A660" s="34">
        <f t="shared" si="76"/>
        <v>0</v>
      </c>
    </row>
    <row r="661" spans="1:1" x14ac:dyDescent="0.2">
      <c r="A661" s="34">
        <f t="shared" si="76"/>
        <v>0</v>
      </c>
    </row>
    <row r="662" spans="1:1" x14ac:dyDescent="0.2">
      <c r="A662" s="34">
        <f t="shared" si="76"/>
        <v>0</v>
      </c>
    </row>
    <row r="663" spans="1:1" x14ac:dyDescent="0.2">
      <c r="A663" s="34">
        <f t="shared" si="76"/>
        <v>0</v>
      </c>
    </row>
    <row r="664" spans="1:1" x14ac:dyDescent="0.2">
      <c r="A664" s="34">
        <f t="shared" si="76"/>
        <v>0</v>
      </c>
    </row>
    <row r="665" spans="1:1" x14ac:dyDescent="0.2">
      <c r="A665" s="34">
        <f t="shared" si="76"/>
        <v>0</v>
      </c>
    </row>
    <row r="666" spans="1:1" x14ac:dyDescent="0.2">
      <c r="A666" s="34">
        <f t="shared" si="76"/>
        <v>0</v>
      </c>
    </row>
    <row r="667" spans="1:1" x14ac:dyDescent="0.2">
      <c r="A667" s="34">
        <f t="shared" si="76"/>
        <v>0</v>
      </c>
    </row>
    <row r="668" spans="1:1" x14ac:dyDescent="0.2">
      <c r="A668" s="34">
        <f t="shared" si="76"/>
        <v>0</v>
      </c>
    </row>
    <row r="669" spans="1:1" x14ac:dyDescent="0.2">
      <c r="A669" s="34">
        <f t="shared" si="76"/>
        <v>0</v>
      </c>
    </row>
    <row r="670" spans="1:1" x14ac:dyDescent="0.2">
      <c r="A670" s="34">
        <f t="shared" si="76"/>
        <v>0</v>
      </c>
    </row>
    <row r="671" spans="1:1" x14ac:dyDescent="0.2">
      <c r="A671" s="34">
        <f t="shared" si="76"/>
        <v>0</v>
      </c>
    </row>
    <row r="672" spans="1:1" x14ac:dyDescent="0.2">
      <c r="A672" s="34">
        <f t="shared" si="76"/>
        <v>0</v>
      </c>
    </row>
    <row r="673" spans="1:1" x14ac:dyDescent="0.2">
      <c r="A673" s="34">
        <f t="shared" si="76"/>
        <v>0</v>
      </c>
    </row>
    <row r="674" spans="1:1" x14ac:dyDescent="0.2">
      <c r="A674" s="34">
        <f t="shared" si="76"/>
        <v>0</v>
      </c>
    </row>
    <row r="675" spans="1:1" x14ac:dyDescent="0.2">
      <c r="A675" s="34">
        <f t="shared" si="76"/>
        <v>0</v>
      </c>
    </row>
    <row r="676" spans="1:1" x14ac:dyDescent="0.2">
      <c r="A676" s="34">
        <f t="shared" si="76"/>
        <v>0</v>
      </c>
    </row>
    <row r="677" spans="1:1" x14ac:dyDescent="0.2">
      <c r="A677" s="34">
        <f t="shared" si="76"/>
        <v>0</v>
      </c>
    </row>
    <row r="678" spans="1:1" x14ac:dyDescent="0.2">
      <c r="A678" s="34">
        <f t="shared" si="76"/>
        <v>0</v>
      </c>
    </row>
    <row r="679" spans="1:1" x14ac:dyDescent="0.2">
      <c r="A679" s="34">
        <f t="shared" si="76"/>
        <v>0</v>
      </c>
    </row>
    <row r="680" spans="1:1" x14ac:dyDescent="0.2">
      <c r="A680" s="34">
        <f t="shared" si="76"/>
        <v>0</v>
      </c>
    </row>
    <row r="681" spans="1:1" x14ac:dyDescent="0.2">
      <c r="A681" s="34">
        <f t="shared" si="76"/>
        <v>0</v>
      </c>
    </row>
    <row r="682" spans="1:1" x14ac:dyDescent="0.2">
      <c r="A682" s="34">
        <f t="shared" si="76"/>
        <v>0</v>
      </c>
    </row>
    <row r="683" spans="1:1" x14ac:dyDescent="0.2">
      <c r="A683" s="34">
        <f t="shared" si="76"/>
        <v>0</v>
      </c>
    </row>
    <row r="684" spans="1:1" x14ac:dyDescent="0.2">
      <c r="A684" s="34">
        <f t="shared" si="76"/>
        <v>0</v>
      </c>
    </row>
    <row r="685" spans="1:1" x14ac:dyDescent="0.2">
      <c r="A685" s="34">
        <f t="shared" si="76"/>
        <v>0</v>
      </c>
    </row>
    <row r="686" spans="1:1" x14ac:dyDescent="0.2">
      <c r="A686" s="34">
        <f t="shared" si="76"/>
        <v>0</v>
      </c>
    </row>
    <row r="687" spans="1:1" x14ac:dyDescent="0.2">
      <c r="A687" s="34">
        <f t="shared" si="76"/>
        <v>0</v>
      </c>
    </row>
    <row r="688" spans="1:1" x14ac:dyDescent="0.2">
      <c r="A688" s="34">
        <f t="shared" si="76"/>
        <v>0</v>
      </c>
    </row>
    <row r="689" spans="1:1" x14ac:dyDescent="0.2">
      <c r="A689" s="34">
        <f t="shared" si="76"/>
        <v>0</v>
      </c>
    </row>
    <row r="690" spans="1:1" x14ac:dyDescent="0.2">
      <c r="A690" s="34">
        <f t="shared" si="76"/>
        <v>0</v>
      </c>
    </row>
    <row r="691" spans="1:1" x14ac:dyDescent="0.2">
      <c r="A691" s="34">
        <f t="shared" si="76"/>
        <v>0</v>
      </c>
    </row>
    <row r="692" spans="1:1" x14ac:dyDescent="0.2">
      <c r="A692" s="34">
        <f t="shared" si="76"/>
        <v>0</v>
      </c>
    </row>
    <row r="693" spans="1:1" x14ac:dyDescent="0.2">
      <c r="A693" s="34">
        <f t="shared" si="76"/>
        <v>0</v>
      </c>
    </row>
    <row r="694" spans="1:1" x14ac:dyDescent="0.2">
      <c r="A694" s="34">
        <f t="shared" si="76"/>
        <v>0</v>
      </c>
    </row>
    <row r="695" spans="1:1" x14ac:dyDescent="0.2">
      <c r="A695" s="34">
        <f t="shared" si="76"/>
        <v>0</v>
      </c>
    </row>
    <row r="696" spans="1:1" x14ac:dyDescent="0.2">
      <c r="A696" s="34">
        <f t="shared" si="76"/>
        <v>0</v>
      </c>
    </row>
    <row r="697" spans="1:1" x14ac:dyDescent="0.2">
      <c r="A697" s="34">
        <f t="shared" si="76"/>
        <v>0</v>
      </c>
    </row>
    <row r="698" spans="1:1" x14ac:dyDescent="0.2">
      <c r="A698" s="34">
        <f t="shared" si="76"/>
        <v>0</v>
      </c>
    </row>
    <row r="699" spans="1:1" x14ac:dyDescent="0.2">
      <c r="A699" s="34">
        <f t="shared" si="76"/>
        <v>0</v>
      </c>
    </row>
    <row r="700" spans="1:1" x14ac:dyDescent="0.2">
      <c r="A700" s="34">
        <f t="shared" si="76"/>
        <v>0</v>
      </c>
    </row>
    <row r="701" spans="1:1" x14ac:dyDescent="0.2">
      <c r="A701" s="34">
        <f t="shared" si="76"/>
        <v>0</v>
      </c>
    </row>
    <row r="702" spans="1:1" x14ac:dyDescent="0.2">
      <c r="A702" s="34">
        <f t="shared" si="76"/>
        <v>0</v>
      </c>
    </row>
    <row r="703" spans="1:1" x14ac:dyDescent="0.2">
      <c r="A703" s="34">
        <f t="shared" si="76"/>
        <v>0</v>
      </c>
    </row>
    <row r="704" spans="1:1" x14ac:dyDescent="0.2">
      <c r="A704" s="34">
        <f t="shared" si="76"/>
        <v>0</v>
      </c>
    </row>
    <row r="705" spans="1:1" x14ac:dyDescent="0.2">
      <c r="A705" s="34">
        <f t="shared" si="76"/>
        <v>0</v>
      </c>
    </row>
    <row r="706" spans="1:1" x14ac:dyDescent="0.2">
      <c r="A706" s="34">
        <f t="shared" si="76"/>
        <v>0</v>
      </c>
    </row>
    <row r="707" spans="1:1" x14ac:dyDescent="0.2">
      <c r="A707" s="34">
        <f t="shared" si="76"/>
        <v>0</v>
      </c>
    </row>
    <row r="708" spans="1:1" x14ac:dyDescent="0.2">
      <c r="A708" s="34">
        <f t="shared" si="76"/>
        <v>0</v>
      </c>
    </row>
    <row r="709" spans="1:1" x14ac:dyDescent="0.2">
      <c r="A709" s="34">
        <f t="shared" si="76"/>
        <v>0</v>
      </c>
    </row>
    <row r="710" spans="1:1" x14ac:dyDescent="0.2">
      <c r="A710" s="34">
        <f t="shared" si="76"/>
        <v>0</v>
      </c>
    </row>
    <row r="711" spans="1:1" x14ac:dyDescent="0.2">
      <c r="A711" s="34">
        <f t="shared" si="76"/>
        <v>0</v>
      </c>
    </row>
    <row r="712" spans="1:1" x14ac:dyDescent="0.2">
      <c r="A712" s="34">
        <f t="shared" si="76"/>
        <v>0</v>
      </c>
    </row>
    <row r="713" spans="1:1" x14ac:dyDescent="0.2">
      <c r="A713" s="34">
        <f t="shared" si="76"/>
        <v>0</v>
      </c>
    </row>
    <row r="714" spans="1:1" x14ac:dyDescent="0.2">
      <c r="A714" s="34">
        <f t="shared" si="76"/>
        <v>0</v>
      </c>
    </row>
    <row r="715" spans="1:1" x14ac:dyDescent="0.2">
      <c r="A715" s="34">
        <f t="shared" si="76"/>
        <v>0</v>
      </c>
    </row>
    <row r="716" spans="1:1" x14ac:dyDescent="0.2">
      <c r="A716" s="34">
        <f t="shared" si="76"/>
        <v>0</v>
      </c>
    </row>
    <row r="717" spans="1:1" x14ac:dyDescent="0.2">
      <c r="A717" s="34">
        <f t="shared" si="76"/>
        <v>0</v>
      </c>
    </row>
    <row r="718" spans="1:1" x14ac:dyDescent="0.2">
      <c r="A718" s="34">
        <f t="shared" si="76"/>
        <v>0</v>
      </c>
    </row>
    <row r="719" spans="1:1" x14ac:dyDescent="0.2">
      <c r="A719" s="34">
        <f t="shared" ref="A719:A782" si="77">IF(A718=0,0,IF(A718=" ","",IF(A718-1&gt;0,A718-1,0)))</f>
        <v>0</v>
      </c>
    </row>
    <row r="720" spans="1:1" x14ac:dyDescent="0.2">
      <c r="A720" s="34">
        <f t="shared" si="77"/>
        <v>0</v>
      </c>
    </row>
    <row r="721" spans="1:1" x14ac:dyDescent="0.2">
      <c r="A721" s="34">
        <f t="shared" si="77"/>
        <v>0</v>
      </c>
    </row>
    <row r="722" spans="1:1" x14ac:dyDescent="0.2">
      <c r="A722" s="34">
        <f t="shared" si="77"/>
        <v>0</v>
      </c>
    </row>
    <row r="723" spans="1:1" x14ac:dyDescent="0.2">
      <c r="A723" s="34">
        <f t="shared" si="77"/>
        <v>0</v>
      </c>
    </row>
    <row r="724" spans="1:1" x14ac:dyDescent="0.2">
      <c r="A724" s="34">
        <f t="shared" si="77"/>
        <v>0</v>
      </c>
    </row>
    <row r="725" spans="1:1" x14ac:dyDescent="0.2">
      <c r="A725" s="34">
        <f t="shared" si="77"/>
        <v>0</v>
      </c>
    </row>
    <row r="726" spans="1:1" x14ac:dyDescent="0.2">
      <c r="A726" s="34">
        <f t="shared" si="77"/>
        <v>0</v>
      </c>
    </row>
    <row r="727" spans="1:1" x14ac:dyDescent="0.2">
      <c r="A727" s="34">
        <f t="shared" si="77"/>
        <v>0</v>
      </c>
    </row>
    <row r="728" spans="1:1" x14ac:dyDescent="0.2">
      <c r="A728" s="34">
        <f t="shared" si="77"/>
        <v>0</v>
      </c>
    </row>
    <row r="729" spans="1:1" x14ac:dyDescent="0.2">
      <c r="A729" s="34">
        <f t="shared" si="77"/>
        <v>0</v>
      </c>
    </row>
    <row r="730" spans="1:1" x14ac:dyDescent="0.2">
      <c r="A730" s="34">
        <f t="shared" si="77"/>
        <v>0</v>
      </c>
    </row>
    <row r="731" spans="1:1" x14ac:dyDescent="0.2">
      <c r="A731" s="34">
        <f t="shared" si="77"/>
        <v>0</v>
      </c>
    </row>
    <row r="732" spans="1:1" x14ac:dyDescent="0.2">
      <c r="A732" s="34">
        <f t="shared" si="77"/>
        <v>0</v>
      </c>
    </row>
    <row r="733" spans="1:1" x14ac:dyDescent="0.2">
      <c r="A733" s="34">
        <f t="shared" si="77"/>
        <v>0</v>
      </c>
    </row>
    <row r="734" spans="1:1" x14ac:dyDescent="0.2">
      <c r="A734" s="34">
        <f t="shared" si="77"/>
        <v>0</v>
      </c>
    </row>
    <row r="735" spans="1:1" x14ac:dyDescent="0.2">
      <c r="A735" s="34">
        <f t="shared" si="77"/>
        <v>0</v>
      </c>
    </row>
    <row r="736" spans="1:1" x14ac:dyDescent="0.2">
      <c r="A736" s="34">
        <f t="shared" si="77"/>
        <v>0</v>
      </c>
    </row>
    <row r="737" spans="1:1" x14ac:dyDescent="0.2">
      <c r="A737" s="34">
        <f t="shared" si="77"/>
        <v>0</v>
      </c>
    </row>
    <row r="738" spans="1:1" x14ac:dyDescent="0.2">
      <c r="A738" s="34">
        <f t="shared" si="77"/>
        <v>0</v>
      </c>
    </row>
    <row r="739" spans="1:1" x14ac:dyDescent="0.2">
      <c r="A739" s="34">
        <f t="shared" si="77"/>
        <v>0</v>
      </c>
    </row>
    <row r="740" spans="1:1" x14ac:dyDescent="0.2">
      <c r="A740" s="34">
        <f t="shared" si="77"/>
        <v>0</v>
      </c>
    </row>
    <row r="741" spans="1:1" x14ac:dyDescent="0.2">
      <c r="A741" s="34">
        <f t="shared" si="77"/>
        <v>0</v>
      </c>
    </row>
    <row r="742" spans="1:1" x14ac:dyDescent="0.2">
      <c r="A742" s="34">
        <f t="shared" si="77"/>
        <v>0</v>
      </c>
    </row>
    <row r="743" spans="1:1" x14ac:dyDescent="0.2">
      <c r="A743" s="34">
        <f t="shared" si="77"/>
        <v>0</v>
      </c>
    </row>
    <row r="744" spans="1:1" x14ac:dyDescent="0.2">
      <c r="A744" s="34">
        <f t="shared" si="77"/>
        <v>0</v>
      </c>
    </row>
    <row r="745" spans="1:1" x14ac:dyDescent="0.2">
      <c r="A745" s="34">
        <f t="shared" si="77"/>
        <v>0</v>
      </c>
    </row>
    <row r="746" spans="1:1" x14ac:dyDescent="0.2">
      <c r="A746" s="34">
        <f t="shared" si="77"/>
        <v>0</v>
      </c>
    </row>
    <row r="747" spans="1:1" x14ac:dyDescent="0.2">
      <c r="A747" s="34">
        <f t="shared" si="77"/>
        <v>0</v>
      </c>
    </row>
    <row r="748" spans="1:1" x14ac:dyDescent="0.2">
      <c r="A748" s="34">
        <f t="shared" si="77"/>
        <v>0</v>
      </c>
    </row>
    <row r="749" spans="1:1" x14ac:dyDescent="0.2">
      <c r="A749" s="34">
        <f t="shared" si="77"/>
        <v>0</v>
      </c>
    </row>
    <row r="750" spans="1:1" x14ac:dyDescent="0.2">
      <c r="A750" s="34">
        <f t="shared" si="77"/>
        <v>0</v>
      </c>
    </row>
    <row r="751" spans="1:1" x14ac:dyDescent="0.2">
      <c r="A751" s="34">
        <f t="shared" si="77"/>
        <v>0</v>
      </c>
    </row>
    <row r="752" spans="1:1" x14ac:dyDescent="0.2">
      <c r="A752" s="34">
        <f t="shared" si="77"/>
        <v>0</v>
      </c>
    </row>
    <row r="753" spans="1:1" x14ac:dyDescent="0.2">
      <c r="A753" s="34">
        <f t="shared" si="77"/>
        <v>0</v>
      </c>
    </row>
    <row r="754" spans="1:1" x14ac:dyDescent="0.2">
      <c r="A754" s="34">
        <f t="shared" si="77"/>
        <v>0</v>
      </c>
    </row>
    <row r="755" spans="1:1" x14ac:dyDescent="0.2">
      <c r="A755" s="34">
        <f t="shared" si="77"/>
        <v>0</v>
      </c>
    </row>
    <row r="756" spans="1:1" x14ac:dyDescent="0.2">
      <c r="A756" s="34">
        <f t="shared" si="77"/>
        <v>0</v>
      </c>
    </row>
    <row r="757" spans="1:1" x14ac:dyDescent="0.2">
      <c r="A757" s="34">
        <f t="shared" si="77"/>
        <v>0</v>
      </c>
    </row>
    <row r="758" spans="1:1" x14ac:dyDescent="0.2">
      <c r="A758" s="34">
        <f t="shared" si="77"/>
        <v>0</v>
      </c>
    </row>
    <row r="759" spans="1:1" x14ac:dyDescent="0.2">
      <c r="A759" s="34">
        <f t="shared" si="77"/>
        <v>0</v>
      </c>
    </row>
    <row r="760" spans="1:1" x14ac:dyDescent="0.2">
      <c r="A760" s="34">
        <f t="shared" si="77"/>
        <v>0</v>
      </c>
    </row>
    <row r="761" spans="1:1" x14ac:dyDescent="0.2">
      <c r="A761" s="34">
        <f t="shared" si="77"/>
        <v>0</v>
      </c>
    </row>
    <row r="762" spans="1:1" x14ac:dyDescent="0.2">
      <c r="A762" s="34">
        <f t="shared" si="77"/>
        <v>0</v>
      </c>
    </row>
    <row r="763" spans="1:1" x14ac:dyDescent="0.2">
      <c r="A763" s="34">
        <f t="shared" si="77"/>
        <v>0</v>
      </c>
    </row>
    <row r="764" spans="1:1" x14ac:dyDescent="0.2">
      <c r="A764" s="34">
        <f t="shared" si="77"/>
        <v>0</v>
      </c>
    </row>
    <row r="765" spans="1:1" x14ac:dyDescent="0.2">
      <c r="A765" s="34">
        <f t="shared" si="77"/>
        <v>0</v>
      </c>
    </row>
    <row r="766" spans="1:1" x14ac:dyDescent="0.2">
      <c r="A766" s="34">
        <f t="shared" si="77"/>
        <v>0</v>
      </c>
    </row>
    <row r="767" spans="1:1" x14ac:dyDescent="0.2">
      <c r="A767" s="34">
        <f t="shared" si="77"/>
        <v>0</v>
      </c>
    </row>
    <row r="768" spans="1:1" x14ac:dyDescent="0.2">
      <c r="A768" s="34">
        <f t="shared" si="77"/>
        <v>0</v>
      </c>
    </row>
    <row r="769" spans="1:1" x14ac:dyDescent="0.2">
      <c r="A769" s="34">
        <f t="shared" si="77"/>
        <v>0</v>
      </c>
    </row>
    <row r="770" spans="1:1" x14ac:dyDescent="0.2">
      <c r="A770" s="34">
        <f t="shared" si="77"/>
        <v>0</v>
      </c>
    </row>
    <row r="771" spans="1:1" x14ac:dyDescent="0.2">
      <c r="A771" s="34">
        <f t="shared" si="77"/>
        <v>0</v>
      </c>
    </row>
    <row r="772" spans="1:1" x14ac:dyDescent="0.2">
      <c r="A772" s="34">
        <f t="shared" si="77"/>
        <v>0</v>
      </c>
    </row>
    <row r="773" spans="1:1" x14ac:dyDescent="0.2">
      <c r="A773" s="34">
        <f t="shared" si="77"/>
        <v>0</v>
      </c>
    </row>
    <row r="774" spans="1:1" x14ac:dyDescent="0.2">
      <c r="A774" s="34">
        <f t="shared" si="77"/>
        <v>0</v>
      </c>
    </row>
    <row r="775" spans="1:1" x14ac:dyDescent="0.2">
      <c r="A775" s="34">
        <f t="shared" si="77"/>
        <v>0</v>
      </c>
    </row>
    <row r="776" spans="1:1" x14ac:dyDescent="0.2">
      <c r="A776" s="34">
        <f t="shared" si="77"/>
        <v>0</v>
      </c>
    </row>
    <row r="777" spans="1:1" x14ac:dyDescent="0.2">
      <c r="A777" s="34">
        <f t="shared" si="77"/>
        <v>0</v>
      </c>
    </row>
    <row r="778" spans="1:1" x14ac:dyDescent="0.2">
      <c r="A778" s="34">
        <f t="shared" si="77"/>
        <v>0</v>
      </c>
    </row>
    <row r="779" spans="1:1" x14ac:dyDescent="0.2">
      <c r="A779" s="34">
        <f t="shared" si="77"/>
        <v>0</v>
      </c>
    </row>
    <row r="780" spans="1:1" x14ac:dyDescent="0.2">
      <c r="A780" s="34">
        <f t="shared" si="77"/>
        <v>0</v>
      </c>
    </row>
    <row r="781" spans="1:1" x14ac:dyDescent="0.2">
      <c r="A781" s="34">
        <f t="shared" si="77"/>
        <v>0</v>
      </c>
    </row>
    <row r="782" spans="1:1" x14ac:dyDescent="0.2">
      <c r="A782" s="34">
        <f t="shared" si="77"/>
        <v>0</v>
      </c>
    </row>
    <row r="783" spans="1:1" x14ac:dyDescent="0.2">
      <c r="A783" s="34">
        <f t="shared" ref="A783:A846" si="78">IF(A782=0,0,IF(A782=" ","",IF(A782-1&gt;0,A782-1,0)))</f>
        <v>0</v>
      </c>
    </row>
    <row r="784" spans="1:1" x14ac:dyDescent="0.2">
      <c r="A784" s="34">
        <f t="shared" si="78"/>
        <v>0</v>
      </c>
    </row>
    <row r="785" spans="1:1" x14ac:dyDescent="0.2">
      <c r="A785" s="34">
        <f t="shared" si="78"/>
        <v>0</v>
      </c>
    </row>
    <row r="786" spans="1:1" x14ac:dyDescent="0.2">
      <c r="A786" s="34">
        <f t="shared" si="78"/>
        <v>0</v>
      </c>
    </row>
    <row r="787" spans="1:1" x14ac:dyDescent="0.2">
      <c r="A787" s="34">
        <f t="shared" si="78"/>
        <v>0</v>
      </c>
    </row>
    <row r="788" spans="1:1" x14ac:dyDescent="0.2">
      <c r="A788" s="34">
        <f t="shared" si="78"/>
        <v>0</v>
      </c>
    </row>
    <row r="789" spans="1:1" x14ac:dyDescent="0.2">
      <c r="A789" s="34">
        <f t="shared" si="78"/>
        <v>0</v>
      </c>
    </row>
    <row r="790" spans="1:1" x14ac:dyDescent="0.2">
      <c r="A790" s="34">
        <f t="shared" si="78"/>
        <v>0</v>
      </c>
    </row>
    <row r="791" spans="1:1" x14ac:dyDescent="0.2">
      <c r="A791" s="34">
        <f t="shared" si="78"/>
        <v>0</v>
      </c>
    </row>
    <row r="792" spans="1:1" x14ac:dyDescent="0.2">
      <c r="A792" s="34">
        <f t="shared" si="78"/>
        <v>0</v>
      </c>
    </row>
    <row r="793" spans="1:1" x14ac:dyDescent="0.2">
      <c r="A793" s="34">
        <f t="shared" si="78"/>
        <v>0</v>
      </c>
    </row>
    <row r="794" spans="1:1" x14ac:dyDescent="0.2">
      <c r="A794" s="34">
        <f t="shared" si="78"/>
        <v>0</v>
      </c>
    </row>
    <row r="795" spans="1:1" x14ac:dyDescent="0.2">
      <c r="A795" s="34">
        <f t="shared" si="78"/>
        <v>0</v>
      </c>
    </row>
    <row r="796" spans="1:1" x14ac:dyDescent="0.2">
      <c r="A796" s="34">
        <f t="shared" si="78"/>
        <v>0</v>
      </c>
    </row>
    <row r="797" spans="1:1" x14ac:dyDescent="0.2">
      <c r="A797" s="34">
        <f t="shared" si="78"/>
        <v>0</v>
      </c>
    </row>
    <row r="798" spans="1:1" x14ac:dyDescent="0.2">
      <c r="A798" s="34">
        <f t="shared" si="78"/>
        <v>0</v>
      </c>
    </row>
    <row r="799" spans="1:1" x14ac:dyDescent="0.2">
      <c r="A799" s="34">
        <f t="shared" si="78"/>
        <v>0</v>
      </c>
    </row>
    <row r="800" spans="1:1" x14ac:dyDescent="0.2">
      <c r="A800" s="34">
        <f t="shared" si="78"/>
        <v>0</v>
      </c>
    </row>
    <row r="801" spans="1:1" x14ac:dyDescent="0.2">
      <c r="A801" s="34">
        <f t="shared" si="78"/>
        <v>0</v>
      </c>
    </row>
    <row r="802" spans="1:1" x14ac:dyDescent="0.2">
      <c r="A802" s="34">
        <f t="shared" si="78"/>
        <v>0</v>
      </c>
    </row>
    <row r="803" spans="1:1" x14ac:dyDescent="0.2">
      <c r="A803" s="34">
        <f t="shared" si="78"/>
        <v>0</v>
      </c>
    </row>
    <row r="804" spans="1:1" x14ac:dyDescent="0.2">
      <c r="A804" s="34">
        <f t="shared" si="78"/>
        <v>0</v>
      </c>
    </row>
    <row r="805" spans="1:1" x14ac:dyDescent="0.2">
      <c r="A805" s="34">
        <f t="shared" si="78"/>
        <v>0</v>
      </c>
    </row>
    <row r="806" spans="1:1" x14ac:dyDescent="0.2">
      <c r="A806" s="34">
        <f t="shared" si="78"/>
        <v>0</v>
      </c>
    </row>
    <row r="807" spans="1:1" x14ac:dyDescent="0.2">
      <c r="A807" s="34">
        <f t="shared" si="78"/>
        <v>0</v>
      </c>
    </row>
    <row r="808" spans="1:1" x14ac:dyDescent="0.2">
      <c r="A808" s="34">
        <f t="shared" si="78"/>
        <v>0</v>
      </c>
    </row>
    <row r="809" spans="1:1" x14ac:dyDescent="0.2">
      <c r="A809" s="34">
        <f t="shared" si="78"/>
        <v>0</v>
      </c>
    </row>
    <row r="810" spans="1:1" x14ac:dyDescent="0.2">
      <c r="A810" s="34">
        <f t="shared" si="78"/>
        <v>0</v>
      </c>
    </row>
    <row r="811" spans="1:1" x14ac:dyDescent="0.2">
      <c r="A811" s="34">
        <f t="shared" si="78"/>
        <v>0</v>
      </c>
    </row>
    <row r="812" spans="1:1" x14ac:dyDescent="0.2">
      <c r="A812" s="34">
        <f t="shared" si="78"/>
        <v>0</v>
      </c>
    </row>
    <row r="813" spans="1:1" x14ac:dyDescent="0.2">
      <c r="A813" s="34">
        <f t="shared" si="78"/>
        <v>0</v>
      </c>
    </row>
    <row r="814" spans="1:1" x14ac:dyDescent="0.2">
      <c r="A814" s="34">
        <f t="shared" si="78"/>
        <v>0</v>
      </c>
    </row>
    <row r="815" spans="1:1" x14ac:dyDescent="0.2">
      <c r="A815" s="34">
        <f t="shared" si="78"/>
        <v>0</v>
      </c>
    </row>
    <row r="816" spans="1:1" x14ac:dyDescent="0.2">
      <c r="A816" s="34">
        <f t="shared" si="78"/>
        <v>0</v>
      </c>
    </row>
    <row r="817" spans="1:1" x14ac:dyDescent="0.2">
      <c r="A817" s="34">
        <f t="shared" si="78"/>
        <v>0</v>
      </c>
    </row>
    <row r="818" spans="1:1" x14ac:dyDescent="0.2">
      <c r="A818" s="34">
        <f t="shared" si="78"/>
        <v>0</v>
      </c>
    </row>
    <row r="819" spans="1:1" x14ac:dyDescent="0.2">
      <c r="A819" s="34">
        <f t="shared" si="78"/>
        <v>0</v>
      </c>
    </row>
    <row r="820" spans="1:1" x14ac:dyDescent="0.2">
      <c r="A820" s="34">
        <f t="shared" si="78"/>
        <v>0</v>
      </c>
    </row>
    <row r="821" spans="1:1" x14ac:dyDescent="0.2">
      <c r="A821" s="34">
        <f t="shared" si="78"/>
        <v>0</v>
      </c>
    </row>
    <row r="822" spans="1:1" x14ac:dyDescent="0.2">
      <c r="A822" s="34">
        <f t="shared" si="78"/>
        <v>0</v>
      </c>
    </row>
    <row r="823" spans="1:1" x14ac:dyDescent="0.2">
      <c r="A823" s="34">
        <f t="shared" si="78"/>
        <v>0</v>
      </c>
    </row>
    <row r="824" spans="1:1" x14ac:dyDescent="0.2">
      <c r="A824" s="34">
        <f t="shared" si="78"/>
        <v>0</v>
      </c>
    </row>
    <row r="825" spans="1:1" x14ac:dyDescent="0.2">
      <c r="A825" s="34">
        <f t="shared" si="78"/>
        <v>0</v>
      </c>
    </row>
    <row r="826" spans="1:1" x14ac:dyDescent="0.2">
      <c r="A826" s="34">
        <f t="shared" si="78"/>
        <v>0</v>
      </c>
    </row>
    <row r="827" spans="1:1" x14ac:dyDescent="0.2">
      <c r="A827" s="34">
        <f t="shared" si="78"/>
        <v>0</v>
      </c>
    </row>
    <row r="828" spans="1:1" x14ac:dyDescent="0.2">
      <c r="A828" s="34">
        <f t="shared" si="78"/>
        <v>0</v>
      </c>
    </row>
    <row r="829" spans="1:1" x14ac:dyDescent="0.2">
      <c r="A829" s="34">
        <f t="shared" si="78"/>
        <v>0</v>
      </c>
    </row>
    <row r="830" spans="1:1" x14ac:dyDescent="0.2">
      <c r="A830" s="34">
        <f t="shared" si="78"/>
        <v>0</v>
      </c>
    </row>
    <row r="831" spans="1:1" x14ac:dyDescent="0.2">
      <c r="A831" s="34">
        <f t="shared" si="78"/>
        <v>0</v>
      </c>
    </row>
    <row r="832" spans="1:1" x14ac:dyDescent="0.2">
      <c r="A832" s="34">
        <f t="shared" si="78"/>
        <v>0</v>
      </c>
    </row>
    <row r="833" spans="1:1" x14ac:dyDescent="0.2">
      <c r="A833" s="34">
        <f t="shared" si="78"/>
        <v>0</v>
      </c>
    </row>
    <row r="834" spans="1:1" x14ac:dyDescent="0.2">
      <c r="A834" s="34">
        <f t="shared" si="78"/>
        <v>0</v>
      </c>
    </row>
    <row r="835" spans="1:1" x14ac:dyDescent="0.2">
      <c r="A835" s="34">
        <f t="shared" si="78"/>
        <v>0</v>
      </c>
    </row>
    <row r="836" spans="1:1" x14ac:dyDescent="0.2">
      <c r="A836" s="34">
        <f t="shared" si="78"/>
        <v>0</v>
      </c>
    </row>
    <row r="837" spans="1:1" x14ac:dyDescent="0.2">
      <c r="A837" s="34">
        <f t="shared" si="78"/>
        <v>0</v>
      </c>
    </row>
    <row r="838" spans="1:1" x14ac:dyDescent="0.2">
      <c r="A838" s="34">
        <f t="shared" si="78"/>
        <v>0</v>
      </c>
    </row>
    <row r="839" spans="1:1" x14ac:dyDescent="0.2">
      <c r="A839" s="34">
        <f t="shared" si="78"/>
        <v>0</v>
      </c>
    </row>
    <row r="840" spans="1:1" x14ac:dyDescent="0.2">
      <c r="A840" s="34">
        <f t="shared" si="78"/>
        <v>0</v>
      </c>
    </row>
    <row r="841" spans="1:1" x14ac:dyDescent="0.2">
      <c r="A841" s="34">
        <f t="shared" si="78"/>
        <v>0</v>
      </c>
    </row>
    <row r="842" spans="1:1" x14ac:dyDescent="0.2">
      <c r="A842" s="34">
        <f t="shared" si="78"/>
        <v>0</v>
      </c>
    </row>
    <row r="843" spans="1:1" x14ac:dyDescent="0.2">
      <c r="A843" s="34">
        <f t="shared" si="78"/>
        <v>0</v>
      </c>
    </row>
    <row r="844" spans="1:1" x14ac:dyDescent="0.2">
      <c r="A844" s="34">
        <f t="shared" si="78"/>
        <v>0</v>
      </c>
    </row>
    <row r="845" spans="1:1" x14ac:dyDescent="0.2">
      <c r="A845" s="34">
        <f t="shared" si="78"/>
        <v>0</v>
      </c>
    </row>
    <row r="846" spans="1:1" x14ac:dyDescent="0.2">
      <c r="A846" s="34">
        <f t="shared" si="78"/>
        <v>0</v>
      </c>
    </row>
    <row r="847" spans="1:1" x14ac:dyDescent="0.2">
      <c r="A847" s="34">
        <f t="shared" ref="A847:A910" si="79">IF(A846=0,0,IF(A846=" ","",IF(A846-1&gt;0,A846-1,0)))</f>
        <v>0</v>
      </c>
    </row>
    <row r="848" spans="1:1" x14ac:dyDescent="0.2">
      <c r="A848" s="34">
        <f t="shared" si="79"/>
        <v>0</v>
      </c>
    </row>
    <row r="849" spans="1:1" x14ac:dyDescent="0.2">
      <c r="A849" s="34">
        <f t="shared" si="79"/>
        <v>0</v>
      </c>
    </row>
    <row r="850" spans="1:1" x14ac:dyDescent="0.2">
      <c r="A850" s="34">
        <f t="shared" si="79"/>
        <v>0</v>
      </c>
    </row>
    <row r="851" spans="1:1" x14ac:dyDescent="0.2">
      <c r="A851" s="34">
        <f t="shared" si="79"/>
        <v>0</v>
      </c>
    </row>
    <row r="852" spans="1:1" x14ac:dyDescent="0.2">
      <c r="A852" s="34">
        <f t="shared" si="79"/>
        <v>0</v>
      </c>
    </row>
    <row r="853" spans="1:1" x14ac:dyDescent="0.2">
      <c r="A853" s="34">
        <f t="shared" si="79"/>
        <v>0</v>
      </c>
    </row>
    <row r="854" spans="1:1" x14ac:dyDescent="0.2">
      <c r="A854" s="34">
        <f t="shared" si="79"/>
        <v>0</v>
      </c>
    </row>
    <row r="855" spans="1:1" x14ac:dyDescent="0.2">
      <c r="A855" s="34">
        <f t="shared" si="79"/>
        <v>0</v>
      </c>
    </row>
    <row r="856" spans="1:1" x14ac:dyDescent="0.2">
      <c r="A856" s="34">
        <f t="shared" si="79"/>
        <v>0</v>
      </c>
    </row>
    <row r="857" spans="1:1" x14ac:dyDescent="0.2">
      <c r="A857" s="34">
        <f t="shared" si="79"/>
        <v>0</v>
      </c>
    </row>
    <row r="858" spans="1:1" x14ac:dyDescent="0.2">
      <c r="A858" s="34">
        <f t="shared" si="79"/>
        <v>0</v>
      </c>
    </row>
    <row r="859" spans="1:1" x14ac:dyDescent="0.2">
      <c r="A859" s="34">
        <f t="shared" si="79"/>
        <v>0</v>
      </c>
    </row>
    <row r="860" spans="1:1" x14ac:dyDescent="0.2">
      <c r="A860" s="34">
        <f t="shared" si="79"/>
        <v>0</v>
      </c>
    </row>
    <row r="861" spans="1:1" x14ac:dyDescent="0.2">
      <c r="A861" s="34">
        <f t="shared" si="79"/>
        <v>0</v>
      </c>
    </row>
    <row r="862" spans="1:1" x14ac:dyDescent="0.2">
      <c r="A862" s="34">
        <f t="shared" si="79"/>
        <v>0</v>
      </c>
    </row>
    <row r="863" spans="1:1" x14ac:dyDescent="0.2">
      <c r="A863" s="34">
        <f t="shared" si="79"/>
        <v>0</v>
      </c>
    </row>
    <row r="864" spans="1:1" x14ac:dyDescent="0.2">
      <c r="A864" s="34">
        <f t="shared" si="79"/>
        <v>0</v>
      </c>
    </row>
    <row r="865" spans="1:1" x14ac:dyDescent="0.2">
      <c r="A865" s="34">
        <f t="shared" si="79"/>
        <v>0</v>
      </c>
    </row>
    <row r="866" spans="1:1" x14ac:dyDescent="0.2">
      <c r="A866" s="34">
        <f t="shared" si="79"/>
        <v>0</v>
      </c>
    </row>
    <row r="867" spans="1:1" x14ac:dyDescent="0.2">
      <c r="A867" s="34">
        <f t="shared" si="79"/>
        <v>0</v>
      </c>
    </row>
    <row r="868" spans="1:1" x14ac:dyDescent="0.2">
      <c r="A868" s="34">
        <f t="shared" si="79"/>
        <v>0</v>
      </c>
    </row>
    <row r="869" spans="1:1" x14ac:dyDescent="0.2">
      <c r="A869" s="34">
        <f t="shared" si="79"/>
        <v>0</v>
      </c>
    </row>
    <row r="870" spans="1:1" x14ac:dyDescent="0.2">
      <c r="A870" s="34">
        <f t="shared" si="79"/>
        <v>0</v>
      </c>
    </row>
    <row r="871" spans="1:1" x14ac:dyDescent="0.2">
      <c r="A871" s="34">
        <f t="shared" si="79"/>
        <v>0</v>
      </c>
    </row>
    <row r="872" spans="1:1" x14ac:dyDescent="0.2">
      <c r="A872" s="34">
        <f t="shared" si="79"/>
        <v>0</v>
      </c>
    </row>
    <row r="873" spans="1:1" x14ac:dyDescent="0.2">
      <c r="A873" s="34">
        <f t="shared" si="79"/>
        <v>0</v>
      </c>
    </row>
    <row r="874" spans="1:1" x14ac:dyDescent="0.2">
      <c r="A874" s="34">
        <f t="shared" si="79"/>
        <v>0</v>
      </c>
    </row>
    <row r="875" spans="1:1" x14ac:dyDescent="0.2">
      <c r="A875" s="34">
        <f t="shared" si="79"/>
        <v>0</v>
      </c>
    </row>
    <row r="876" spans="1:1" x14ac:dyDescent="0.2">
      <c r="A876" s="34">
        <f t="shared" si="79"/>
        <v>0</v>
      </c>
    </row>
    <row r="877" spans="1:1" x14ac:dyDescent="0.2">
      <c r="A877" s="34">
        <f t="shared" si="79"/>
        <v>0</v>
      </c>
    </row>
    <row r="878" spans="1:1" x14ac:dyDescent="0.2">
      <c r="A878" s="34">
        <f t="shared" si="79"/>
        <v>0</v>
      </c>
    </row>
    <row r="879" spans="1:1" x14ac:dyDescent="0.2">
      <c r="A879" s="34">
        <f t="shared" si="79"/>
        <v>0</v>
      </c>
    </row>
    <row r="880" spans="1:1" x14ac:dyDescent="0.2">
      <c r="A880" s="34">
        <f t="shared" si="79"/>
        <v>0</v>
      </c>
    </row>
    <row r="881" spans="1:1" x14ac:dyDescent="0.2">
      <c r="A881" s="34">
        <f t="shared" si="79"/>
        <v>0</v>
      </c>
    </row>
    <row r="882" spans="1:1" x14ac:dyDescent="0.2">
      <c r="A882" s="34">
        <f t="shared" si="79"/>
        <v>0</v>
      </c>
    </row>
    <row r="883" spans="1:1" x14ac:dyDescent="0.2">
      <c r="A883" s="34">
        <f t="shared" si="79"/>
        <v>0</v>
      </c>
    </row>
    <row r="884" spans="1:1" x14ac:dyDescent="0.2">
      <c r="A884" s="34">
        <f t="shared" si="79"/>
        <v>0</v>
      </c>
    </row>
    <row r="885" spans="1:1" x14ac:dyDescent="0.2">
      <c r="A885" s="34">
        <f t="shared" si="79"/>
        <v>0</v>
      </c>
    </row>
    <row r="886" spans="1:1" x14ac:dyDescent="0.2">
      <c r="A886" s="34">
        <f t="shared" si="79"/>
        <v>0</v>
      </c>
    </row>
    <row r="887" spans="1:1" x14ac:dyDescent="0.2">
      <c r="A887" s="34">
        <f t="shared" si="79"/>
        <v>0</v>
      </c>
    </row>
    <row r="888" spans="1:1" x14ac:dyDescent="0.2">
      <c r="A888" s="34">
        <f t="shared" si="79"/>
        <v>0</v>
      </c>
    </row>
    <row r="889" spans="1:1" x14ac:dyDescent="0.2">
      <c r="A889" s="34">
        <f t="shared" si="79"/>
        <v>0</v>
      </c>
    </row>
    <row r="890" spans="1:1" x14ac:dyDescent="0.2">
      <c r="A890" s="34">
        <f t="shared" si="79"/>
        <v>0</v>
      </c>
    </row>
    <row r="891" spans="1:1" x14ac:dyDescent="0.2">
      <c r="A891" s="34">
        <f t="shared" si="79"/>
        <v>0</v>
      </c>
    </row>
    <row r="892" spans="1:1" x14ac:dyDescent="0.2">
      <c r="A892" s="34">
        <f t="shared" si="79"/>
        <v>0</v>
      </c>
    </row>
    <row r="893" spans="1:1" x14ac:dyDescent="0.2">
      <c r="A893" s="34">
        <f t="shared" si="79"/>
        <v>0</v>
      </c>
    </row>
    <row r="894" spans="1:1" x14ac:dyDescent="0.2">
      <c r="A894" s="34">
        <f t="shared" si="79"/>
        <v>0</v>
      </c>
    </row>
    <row r="895" spans="1:1" x14ac:dyDescent="0.2">
      <c r="A895" s="34">
        <f t="shared" si="79"/>
        <v>0</v>
      </c>
    </row>
    <row r="896" spans="1:1" x14ac:dyDescent="0.2">
      <c r="A896" s="34">
        <f t="shared" si="79"/>
        <v>0</v>
      </c>
    </row>
    <row r="897" spans="1:1" x14ac:dyDescent="0.2">
      <c r="A897" s="34">
        <f t="shared" si="79"/>
        <v>0</v>
      </c>
    </row>
    <row r="898" spans="1:1" x14ac:dyDescent="0.2">
      <c r="A898" s="34">
        <f t="shared" si="79"/>
        <v>0</v>
      </c>
    </row>
    <row r="899" spans="1:1" x14ac:dyDescent="0.2">
      <c r="A899" s="34">
        <f t="shared" si="79"/>
        <v>0</v>
      </c>
    </row>
    <row r="900" spans="1:1" x14ac:dyDescent="0.2">
      <c r="A900" s="34">
        <f t="shared" si="79"/>
        <v>0</v>
      </c>
    </row>
    <row r="901" spans="1:1" x14ac:dyDescent="0.2">
      <c r="A901" s="34">
        <f t="shared" si="79"/>
        <v>0</v>
      </c>
    </row>
    <row r="902" spans="1:1" x14ac:dyDescent="0.2">
      <c r="A902" s="34">
        <f t="shared" si="79"/>
        <v>0</v>
      </c>
    </row>
    <row r="903" spans="1:1" x14ac:dyDescent="0.2">
      <c r="A903" s="34">
        <f t="shared" si="79"/>
        <v>0</v>
      </c>
    </row>
    <row r="904" spans="1:1" x14ac:dyDescent="0.2">
      <c r="A904" s="34">
        <f t="shared" si="79"/>
        <v>0</v>
      </c>
    </row>
    <row r="905" spans="1:1" x14ac:dyDescent="0.2">
      <c r="A905" s="34">
        <f t="shared" si="79"/>
        <v>0</v>
      </c>
    </row>
    <row r="906" spans="1:1" x14ac:dyDescent="0.2">
      <c r="A906" s="34">
        <f t="shared" si="79"/>
        <v>0</v>
      </c>
    </row>
    <row r="907" spans="1:1" x14ac:dyDescent="0.2">
      <c r="A907" s="34">
        <f t="shared" si="79"/>
        <v>0</v>
      </c>
    </row>
    <row r="908" spans="1:1" x14ac:dyDescent="0.2">
      <c r="A908" s="34">
        <f t="shared" si="79"/>
        <v>0</v>
      </c>
    </row>
    <row r="909" spans="1:1" x14ac:dyDescent="0.2">
      <c r="A909" s="34">
        <f t="shared" si="79"/>
        <v>0</v>
      </c>
    </row>
    <row r="910" spans="1:1" x14ac:dyDescent="0.2">
      <c r="A910" s="34">
        <f t="shared" si="79"/>
        <v>0</v>
      </c>
    </row>
    <row r="911" spans="1:1" x14ac:dyDescent="0.2">
      <c r="A911" s="34">
        <f t="shared" ref="A911:A974" si="80">IF(A910=0,0,IF(A910=" ","",IF(A910-1&gt;0,A910-1,0)))</f>
        <v>0</v>
      </c>
    </row>
    <row r="912" spans="1:1" x14ac:dyDescent="0.2">
      <c r="A912" s="34">
        <f t="shared" si="80"/>
        <v>0</v>
      </c>
    </row>
    <row r="913" spans="1:1" x14ac:dyDescent="0.2">
      <c r="A913" s="34">
        <f t="shared" si="80"/>
        <v>0</v>
      </c>
    </row>
    <row r="914" spans="1:1" x14ac:dyDescent="0.2">
      <c r="A914" s="34">
        <f t="shared" si="80"/>
        <v>0</v>
      </c>
    </row>
    <row r="915" spans="1:1" x14ac:dyDescent="0.2">
      <c r="A915" s="34">
        <f t="shared" si="80"/>
        <v>0</v>
      </c>
    </row>
    <row r="916" spans="1:1" x14ac:dyDescent="0.2">
      <c r="A916" s="34">
        <f t="shared" si="80"/>
        <v>0</v>
      </c>
    </row>
    <row r="917" spans="1:1" x14ac:dyDescent="0.2">
      <c r="A917" s="34">
        <f t="shared" si="80"/>
        <v>0</v>
      </c>
    </row>
    <row r="918" spans="1:1" x14ac:dyDescent="0.2">
      <c r="A918" s="34">
        <f t="shared" si="80"/>
        <v>0</v>
      </c>
    </row>
    <row r="919" spans="1:1" x14ac:dyDescent="0.2">
      <c r="A919" s="34">
        <f t="shared" si="80"/>
        <v>0</v>
      </c>
    </row>
    <row r="920" spans="1:1" x14ac:dyDescent="0.2">
      <c r="A920" s="34">
        <f t="shared" si="80"/>
        <v>0</v>
      </c>
    </row>
    <row r="921" spans="1:1" x14ac:dyDescent="0.2">
      <c r="A921" s="34">
        <f t="shared" si="80"/>
        <v>0</v>
      </c>
    </row>
    <row r="922" spans="1:1" x14ac:dyDescent="0.2">
      <c r="A922" s="34">
        <f t="shared" si="80"/>
        <v>0</v>
      </c>
    </row>
    <row r="923" spans="1:1" x14ac:dyDescent="0.2">
      <c r="A923" s="34">
        <f t="shared" si="80"/>
        <v>0</v>
      </c>
    </row>
    <row r="924" spans="1:1" x14ac:dyDescent="0.2">
      <c r="A924" s="34">
        <f t="shared" si="80"/>
        <v>0</v>
      </c>
    </row>
    <row r="925" spans="1:1" x14ac:dyDescent="0.2">
      <c r="A925" s="34">
        <f t="shared" si="80"/>
        <v>0</v>
      </c>
    </row>
    <row r="926" spans="1:1" x14ac:dyDescent="0.2">
      <c r="A926" s="34">
        <f t="shared" si="80"/>
        <v>0</v>
      </c>
    </row>
    <row r="927" spans="1:1" x14ac:dyDescent="0.2">
      <c r="A927" s="34">
        <f t="shared" si="80"/>
        <v>0</v>
      </c>
    </row>
    <row r="928" spans="1:1" x14ac:dyDescent="0.2">
      <c r="A928" s="34">
        <f t="shared" si="80"/>
        <v>0</v>
      </c>
    </row>
    <row r="929" spans="1:1" x14ac:dyDescent="0.2">
      <c r="A929" s="34">
        <f t="shared" si="80"/>
        <v>0</v>
      </c>
    </row>
    <row r="930" spans="1:1" x14ac:dyDescent="0.2">
      <c r="A930" s="34">
        <f t="shared" si="80"/>
        <v>0</v>
      </c>
    </row>
    <row r="931" spans="1:1" x14ac:dyDescent="0.2">
      <c r="A931" s="34">
        <f t="shared" si="80"/>
        <v>0</v>
      </c>
    </row>
    <row r="932" spans="1:1" x14ac:dyDescent="0.2">
      <c r="A932" s="34">
        <f t="shared" si="80"/>
        <v>0</v>
      </c>
    </row>
    <row r="933" spans="1:1" x14ac:dyDescent="0.2">
      <c r="A933" s="34">
        <f t="shared" si="80"/>
        <v>0</v>
      </c>
    </row>
    <row r="934" spans="1:1" x14ac:dyDescent="0.2">
      <c r="A934" s="34">
        <f t="shared" si="80"/>
        <v>0</v>
      </c>
    </row>
    <row r="935" spans="1:1" x14ac:dyDescent="0.2">
      <c r="A935" s="34">
        <f t="shared" si="80"/>
        <v>0</v>
      </c>
    </row>
    <row r="936" spans="1:1" x14ac:dyDescent="0.2">
      <c r="A936" s="34">
        <f t="shared" si="80"/>
        <v>0</v>
      </c>
    </row>
    <row r="937" spans="1:1" x14ac:dyDescent="0.2">
      <c r="A937" s="34">
        <f t="shared" si="80"/>
        <v>0</v>
      </c>
    </row>
    <row r="938" spans="1:1" x14ac:dyDescent="0.2">
      <c r="A938" s="34">
        <f t="shared" si="80"/>
        <v>0</v>
      </c>
    </row>
    <row r="939" spans="1:1" x14ac:dyDescent="0.2">
      <c r="A939" s="34">
        <f t="shared" si="80"/>
        <v>0</v>
      </c>
    </row>
    <row r="940" spans="1:1" x14ac:dyDescent="0.2">
      <c r="A940" s="34">
        <f t="shared" si="80"/>
        <v>0</v>
      </c>
    </row>
    <row r="941" spans="1:1" x14ac:dyDescent="0.2">
      <c r="A941" s="34">
        <f t="shared" si="80"/>
        <v>0</v>
      </c>
    </row>
    <row r="942" spans="1:1" x14ac:dyDescent="0.2">
      <c r="A942" s="34">
        <f t="shared" si="80"/>
        <v>0</v>
      </c>
    </row>
    <row r="943" spans="1:1" x14ac:dyDescent="0.2">
      <c r="A943" s="34">
        <f t="shared" si="80"/>
        <v>0</v>
      </c>
    </row>
    <row r="944" spans="1:1" x14ac:dyDescent="0.2">
      <c r="A944" s="34">
        <f t="shared" si="80"/>
        <v>0</v>
      </c>
    </row>
    <row r="945" spans="1:1" x14ac:dyDescent="0.2">
      <c r="A945" s="34">
        <f t="shared" si="80"/>
        <v>0</v>
      </c>
    </row>
    <row r="946" spans="1:1" x14ac:dyDescent="0.2">
      <c r="A946" s="34">
        <f t="shared" si="80"/>
        <v>0</v>
      </c>
    </row>
    <row r="947" spans="1:1" x14ac:dyDescent="0.2">
      <c r="A947" s="34">
        <f t="shared" si="80"/>
        <v>0</v>
      </c>
    </row>
    <row r="948" spans="1:1" x14ac:dyDescent="0.2">
      <c r="A948" s="34">
        <f t="shared" si="80"/>
        <v>0</v>
      </c>
    </row>
    <row r="949" spans="1:1" x14ac:dyDescent="0.2">
      <c r="A949" s="34">
        <f t="shared" si="80"/>
        <v>0</v>
      </c>
    </row>
    <row r="950" spans="1:1" x14ac:dyDescent="0.2">
      <c r="A950" s="34">
        <f t="shared" si="80"/>
        <v>0</v>
      </c>
    </row>
    <row r="951" spans="1:1" x14ac:dyDescent="0.2">
      <c r="A951" s="34">
        <f t="shared" si="80"/>
        <v>0</v>
      </c>
    </row>
    <row r="952" spans="1:1" x14ac:dyDescent="0.2">
      <c r="A952" s="34">
        <f t="shared" si="80"/>
        <v>0</v>
      </c>
    </row>
    <row r="953" spans="1:1" x14ac:dyDescent="0.2">
      <c r="A953" s="34">
        <f t="shared" si="80"/>
        <v>0</v>
      </c>
    </row>
    <row r="954" spans="1:1" x14ac:dyDescent="0.2">
      <c r="A954" s="34">
        <f t="shared" si="80"/>
        <v>0</v>
      </c>
    </row>
    <row r="955" spans="1:1" x14ac:dyDescent="0.2">
      <c r="A955" s="34">
        <f t="shared" si="80"/>
        <v>0</v>
      </c>
    </row>
    <row r="956" spans="1:1" x14ac:dyDescent="0.2">
      <c r="A956" s="34">
        <f t="shared" si="80"/>
        <v>0</v>
      </c>
    </row>
    <row r="957" spans="1:1" x14ac:dyDescent="0.2">
      <c r="A957" s="34">
        <f t="shared" si="80"/>
        <v>0</v>
      </c>
    </row>
    <row r="958" spans="1:1" x14ac:dyDescent="0.2">
      <c r="A958" s="34">
        <f t="shared" si="80"/>
        <v>0</v>
      </c>
    </row>
    <row r="959" spans="1:1" x14ac:dyDescent="0.2">
      <c r="A959" s="34">
        <f t="shared" si="80"/>
        <v>0</v>
      </c>
    </row>
    <row r="960" spans="1:1" x14ac:dyDescent="0.2">
      <c r="A960" s="34">
        <f t="shared" si="80"/>
        <v>0</v>
      </c>
    </row>
    <row r="961" spans="1:1" x14ac:dyDescent="0.2">
      <c r="A961" s="34">
        <f t="shared" si="80"/>
        <v>0</v>
      </c>
    </row>
    <row r="962" spans="1:1" x14ac:dyDescent="0.2">
      <c r="A962" s="34">
        <f t="shared" si="80"/>
        <v>0</v>
      </c>
    </row>
    <row r="963" spans="1:1" x14ac:dyDescent="0.2">
      <c r="A963" s="34">
        <f t="shared" si="80"/>
        <v>0</v>
      </c>
    </row>
    <row r="964" spans="1:1" x14ac:dyDescent="0.2">
      <c r="A964" s="34">
        <f t="shared" si="80"/>
        <v>0</v>
      </c>
    </row>
    <row r="965" spans="1:1" x14ac:dyDescent="0.2">
      <c r="A965" s="34">
        <f t="shared" si="80"/>
        <v>0</v>
      </c>
    </row>
    <row r="966" spans="1:1" x14ac:dyDescent="0.2">
      <c r="A966" s="34">
        <f t="shared" si="80"/>
        <v>0</v>
      </c>
    </row>
    <row r="967" spans="1:1" x14ac:dyDescent="0.2">
      <c r="A967" s="34">
        <f t="shared" si="80"/>
        <v>0</v>
      </c>
    </row>
    <row r="968" spans="1:1" x14ac:dyDescent="0.2">
      <c r="A968" s="34">
        <f t="shared" si="80"/>
        <v>0</v>
      </c>
    </row>
    <row r="969" spans="1:1" x14ac:dyDescent="0.2">
      <c r="A969" s="34">
        <f t="shared" si="80"/>
        <v>0</v>
      </c>
    </row>
    <row r="970" spans="1:1" x14ac:dyDescent="0.2">
      <c r="A970" s="34">
        <f t="shared" si="80"/>
        <v>0</v>
      </c>
    </row>
    <row r="971" spans="1:1" x14ac:dyDescent="0.2">
      <c r="A971" s="34">
        <f t="shared" si="80"/>
        <v>0</v>
      </c>
    </row>
    <row r="972" spans="1:1" x14ac:dyDescent="0.2">
      <c r="A972" s="34">
        <f t="shared" si="80"/>
        <v>0</v>
      </c>
    </row>
    <row r="973" spans="1:1" x14ac:dyDescent="0.2">
      <c r="A973" s="34">
        <f t="shared" si="80"/>
        <v>0</v>
      </c>
    </row>
    <row r="974" spans="1:1" x14ac:dyDescent="0.2">
      <c r="A974" s="34">
        <f t="shared" si="80"/>
        <v>0</v>
      </c>
    </row>
    <row r="975" spans="1:1" x14ac:dyDescent="0.2">
      <c r="A975" s="34">
        <f t="shared" ref="A975:A1002" si="81">IF(A974=0,0,IF(A974=" ","",IF(A974-1&gt;0,A974-1,0)))</f>
        <v>0</v>
      </c>
    </row>
    <row r="976" spans="1:1" x14ac:dyDescent="0.2">
      <c r="A976" s="34">
        <f t="shared" si="81"/>
        <v>0</v>
      </c>
    </row>
    <row r="977" spans="1:1" x14ac:dyDescent="0.2">
      <c r="A977" s="34">
        <f t="shared" si="81"/>
        <v>0</v>
      </c>
    </row>
    <row r="978" spans="1:1" x14ac:dyDescent="0.2">
      <c r="A978" s="34">
        <f t="shared" si="81"/>
        <v>0</v>
      </c>
    </row>
    <row r="979" spans="1:1" x14ac:dyDescent="0.2">
      <c r="A979" s="34">
        <f t="shared" si="81"/>
        <v>0</v>
      </c>
    </row>
    <row r="980" spans="1:1" x14ac:dyDescent="0.2">
      <c r="A980" s="34">
        <f t="shared" si="81"/>
        <v>0</v>
      </c>
    </row>
    <row r="981" spans="1:1" x14ac:dyDescent="0.2">
      <c r="A981" s="34">
        <f t="shared" si="81"/>
        <v>0</v>
      </c>
    </row>
    <row r="982" spans="1:1" x14ac:dyDescent="0.2">
      <c r="A982" s="34">
        <f t="shared" si="81"/>
        <v>0</v>
      </c>
    </row>
    <row r="983" spans="1:1" x14ac:dyDescent="0.2">
      <c r="A983" s="34">
        <f t="shared" si="81"/>
        <v>0</v>
      </c>
    </row>
    <row r="984" spans="1:1" x14ac:dyDescent="0.2">
      <c r="A984" s="34">
        <f t="shared" si="81"/>
        <v>0</v>
      </c>
    </row>
    <row r="985" spans="1:1" x14ac:dyDescent="0.2">
      <c r="A985" s="34">
        <f t="shared" si="81"/>
        <v>0</v>
      </c>
    </row>
    <row r="986" spans="1:1" x14ac:dyDescent="0.2">
      <c r="A986" s="34">
        <f t="shared" si="81"/>
        <v>0</v>
      </c>
    </row>
    <row r="987" spans="1:1" x14ac:dyDescent="0.2">
      <c r="A987" s="34">
        <f t="shared" si="81"/>
        <v>0</v>
      </c>
    </row>
    <row r="988" spans="1:1" x14ac:dyDescent="0.2">
      <c r="A988" s="34">
        <f t="shared" si="81"/>
        <v>0</v>
      </c>
    </row>
    <row r="989" spans="1:1" x14ac:dyDescent="0.2">
      <c r="A989" s="34">
        <f t="shared" si="81"/>
        <v>0</v>
      </c>
    </row>
    <row r="990" spans="1:1" x14ac:dyDescent="0.2">
      <c r="A990" s="34">
        <f t="shared" si="81"/>
        <v>0</v>
      </c>
    </row>
    <row r="991" spans="1:1" x14ac:dyDescent="0.2">
      <c r="A991" s="34">
        <f t="shared" si="81"/>
        <v>0</v>
      </c>
    </row>
    <row r="992" spans="1:1" x14ac:dyDescent="0.2">
      <c r="A992" s="34">
        <f t="shared" si="81"/>
        <v>0</v>
      </c>
    </row>
    <row r="993" spans="1:1" x14ac:dyDescent="0.2">
      <c r="A993" s="34">
        <f t="shared" si="81"/>
        <v>0</v>
      </c>
    </row>
    <row r="994" spans="1:1" x14ac:dyDescent="0.2">
      <c r="A994" s="34">
        <f t="shared" si="81"/>
        <v>0</v>
      </c>
    </row>
    <row r="995" spans="1:1" x14ac:dyDescent="0.2">
      <c r="A995" s="34">
        <f t="shared" si="81"/>
        <v>0</v>
      </c>
    </row>
    <row r="996" spans="1:1" x14ac:dyDescent="0.2">
      <c r="A996" s="34">
        <f t="shared" si="81"/>
        <v>0</v>
      </c>
    </row>
    <row r="997" spans="1:1" x14ac:dyDescent="0.2">
      <c r="A997" s="34">
        <f t="shared" si="81"/>
        <v>0</v>
      </c>
    </row>
    <row r="998" spans="1:1" x14ac:dyDescent="0.2">
      <c r="A998" s="34">
        <f t="shared" si="81"/>
        <v>0</v>
      </c>
    </row>
    <row r="999" spans="1:1" x14ac:dyDescent="0.2">
      <c r="A999" s="34">
        <f t="shared" si="81"/>
        <v>0</v>
      </c>
    </row>
    <row r="1000" spans="1:1" x14ac:dyDescent="0.2">
      <c r="A1000" s="34">
        <f t="shared" si="81"/>
        <v>0</v>
      </c>
    </row>
    <row r="1001" spans="1:1" x14ac:dyDescent="0.2">
      <c r="A1001" s="34">
        <f t="shared" si="81"/>
        <v>0</v>
      </c>
    </row>
    <row r="1002" spans="1:1" x14ac:dyDescent="0.2">
      <c r="A1002" s="34">
        <f t="shared" si="81"/>
        <v>0</v>
      </c>
    </row>
  </sheetData>
  <mergeCells count="3">
    <mergeCell ref="D2:G2"/>
    <mergeCell ref="G4:G5"/>
    <mergeCell ref="H4:H5"/>
  </mergeCells>
  <conditionalFormatting sqref="E10">
    <cfRule type="expression" dxfId="0" priority="2" stopIfTrue="1">
      <formula>$C$10="Area of system -"</formula>
    </cfRule>
  </conditionalFormatting>
  <dataValidations count="8">
    <dataValidation type="whole" allowBlank="1" showInputMessage="1" showErrorMessage="1" errorTitle="Invalid Porosity" error="You have entered an invalid stone porosity." sqref="E6" xr:uid="{D33DFAF9-520D-4C8C-88AE-2417F3BBABE7}">
      <formula1>0</formula1>
      <formula2>100</formula2>
    </dataValidation>
    <dataValidation errorStyle="warning" operator="greaterThanOrEqual" allowBlank="1" showInputMessage="1" showErrorMessage="1" errorTitle="Foundation Stone Warning" error="StormTech MC-3500 requires a minimum of 229 mm of foundation stone.  You may enter a value lower than this for modeling reasons however the installation specifications must indicate a minimum of 229 mm. " sqref="E9" xr:uid="{FCC7A2D6-9885-4663-A66C-1A37DEABC2A3}"/>
    <dataValidation type="whole" allowBlank="1" showInputMessage="1" showErrorMessage="1" errorTitle="StormTech Specification Error" error="StormTech requires a minimum of 150 mm of stone above the MC-3500 chambers and has a maximum allowable cover over the MC-3500 chambers of 1981 mm. " sqref="E8" xr:uid="{4709850C-5458-4F0D-8E8B-9F71EEFC95CB}">
      <formula1>152</formula1>
      <formula2>1981</formula2>
    </dataValidation>
    <dataValidation operator="greaterThanOrEqual" allowBlank="1" showInputMessage="1" showErrorMessage="1" errorTitle="Invalid Number of End Caps" error="Please enter a value greater than or equal to 2 for the number of end caps." sqref="E5" xr:uid="{F24942FE-3D82-4FBB-BEA3-E286548E4394}"/>
    <dataValidation operator="greaterThanOrEqual" allowBlank="1" showInputMessage="1" showErrorMessage="1" errorTitle="Invalid Number of Chambers" error="Please enter a value greater than or equal to 1 for the number of chambers." sqref="E4" xr:uid="{668A0266-439B-46DF-894E-622BE8B963DC}"/>
    <dataValidation type="whole" operator="greaterThanOrEqual" allowBlank="1" showInputMessage="1" showErrorMessage="1" errorTitle="Invalid End Cap Count" error="Please enter a value greater than or equal to 1." sqref="F5" xr:uid="{82189331-A03E-4C0E-AB9D-8EA99306F6AB}">
      <formula1>2</formula1>
    </dataValidation>
    <dataValidation type="whole" operator="greaterThanOrEqual" allowBlank="1" showInputMessage="1" showErrorMessage="1" errorTitle="Invalid Number of Chambers" error="Please enter a value greater than or equal to 1." sqref="F4" xr:uid="{F4B8BEE0-AE3F-41ED-9B7B-BC0C0F39BC34}">
      <formula1>1</formula1>
    </dataValidation>
    <dataValidation type="list" allowBlank="1" showInputMessage="1" showErrorMessage="1" sqref="N10" xr:uid="{55C0F80C-637D-4395-90D8-F329CB4E3670}">
      <formula1>Imp</formula1>
    </dataValidation>
  </dataValidations>
  <pageMargins left="0.5" right="0.5" top="0.25" bottom="0.25" header="0.5" footer="0.37"/>
  <pageSetup scale="62" orientation="portrait" r:id="rId1"/>
  <headerFooter alignWithMargins="0">
    <oddFooter>&amp;C&amp;"Arial,Bold"&amp;8Corporate Office&amp;"Arial,Regular"
20 Beaver Road Wethersfield, CT 06109 (888)-892-2694 Fax (866) 328-8401
&amp;R
&amp;P</oddFooter>
  </headerFooter>
  <rowBreaks count="1" manualBreakCount="1">
    <brk id="73" max="16383" man="1"/>
  </rowBreaks>
  <colBreaks count="1" manualBreakCount="1">
    <brk id="23" min="2" max="113" man="1"/>
  </colBreaks>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11</xdr:col>
                    <xdr:colOff>0</xdr:colOff>
                    <xdr:row>8</xdr:row>
                    <xdr:rowOff>57150</xdr:rowOff>
                  </from>
                  <to>
                    <xdr:col>12</xdr:col>
                    <xdr:colOff>342900</xdr:colOff>
                    <xdr:row>9</xdr:row>
                    <xdr:rowOff>114300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93D52-98E5-4B2F-B30D-9B6ED9F012F4}">
  <sheetPr codeName="Sheet6">
    <tabColor rgb="FFCCFFCC"/>
  </sheetPr>
  <dimension ref="B2:AG1003"/>
  <sheetViews>
    <sheetView zoomScaleNormal="100" workbookViewId="0">
      <selection activeCell="D2" sqref="D2:F2"/>
    </sheetView>
  </sheetViews>
  <sheetFormatPr defaultRowHeight="12.75" x14ac:dyDescent="0.2"/>
  <cols>
    <col min="2" max="2" width="32.7109375" customWidth="1"/>
    <col min="5" max="5" width="12" bestFit="1" customWidth="1"/>
    <col min="6" max="6" width="14.28515625" bestFit="1" customWidth="1"/>
    <col min="7" max="7" width="12" bestFit="1" customWidth="1"/>
    <col min="8" max="8" width="11.85546875" bestFit="1" customWidth="1"/>
    <col min="9" max="9" width="12" bestFit="1" customWidth="1"/>
    <col min="10" max="10" width="11.85546875" bestFit="1" customWidth="1"/>
    <col min="11" max="11" width="11" bestFit="1" customWidth="1"/>
    <col min="12" max="12" width="11.85546875" bestFit="1" customWidth="1"/>
    <col min="13" max="13" width="11" bestFit="1" customWidth="1"/>
    <col min="14" max="14" width="13.140625" bestFit="1" customWidth="1"/>
    <col min="15" max="15" width="11" bestFit="1" customWidth="1"/>
    <col min="16" max="16" width="13.140625" bestFit="1" customWidth="1"/>
    <col min="17" max="17" width="11" bestFit="1" customWidth="1"/>
    <col min="18" max="18" width="13.140625" bestFit="1" customWidth="1"/>
    <col min="19" max="19" width="11" bestFit="1" customWidth="1"/>
    <col min="20" max="20" width="11.85546875" bestFit="1" customWidth="1"/>
    <col min="22" max="22" width="11.5703125" bestFit="1" customWidth="1"/>
    <col min="23" max="23" width="26.140625" customWidth="1"/>
    <col min="24" max="24" width="8.5703125" bestFit="1" customWidth="1"/>
    <col min="25" max="25" width="9.5703125" bestFit="1" customWidth="1"/>
    <col min="26" max="26" width="11.28515625" bestFit="1" customWidth="1"/>
    <col min="27" max="27" width="16.42578125" bestFit="1" customWidth="1"/>
    <col min="31" max="31" width="13.5703125" bestFit="1" customWidth="1"/>
  </cols>
  <sheetData>
    <row r="2" spans="2:33" x14ac:dyDescent="0.2">
      <c r="B2" t="b" cm="1">
        <f t="array" ref="B2">OR('Cumulative Volumes Metric'!F4=MetricEndCapsIncluded[Chambers that include end caps])</f>
        <v>1</v>
      </c>
      <c r="D2" s="98" t="s">
        <v>102</v>
      </c>
      <c r="E2" s="98" t="s">
        <v>100</v>
      </c>
      <c r="F2" s="98" t="s">
        <v>108</v>
      </c>
      <c r="G2" s="98" t="s">
        <v>11</v>
      </c>
      <c r="H2" s="98" t="s">
        <v>109</v>
      </c>
      <c r="I2" s="98" t="s">
        <v>12</v>
      </c>
      <c r="J2" s="98" t="s">
        <v>104</v>
      </c>
      <c r="K2" s="98" t="s">
        <v>13</v>
      </c>
      <c r="L2" s="98" t="s">
        <v>112</v>
      </c>
      <c r="M2" s="98" t="s">
        <v>16</v>
      </c>
      <c r="N2" s="98" t="s">
        <v>105</v>
      </c>
      <c r="O2" s="98" t="s">
        <v>20</v>
      </c>
      <c r="P2" s="98" t="s">
        <v>110</v>
      </c>
      <c r="Q2" s="98" t="s">
        <v>21</v>
      </c>
      <c r="R2" s="98" t="s">
        <v>106</v>
      </c>
      <c r="S2" s="98" t="s">
        <v>101</v>
      </c>
      <c r="T2" s="98" t="s">
        <v>107</v>
      </c>
      <c r="V2" s="98" t="s">
        <v>1</v>
      </c>
      <c r="W2" s="98" t="s">
        <v>102</v>
      </c>
      <c r="X2" s="98" t="s">
        <v>4</v>
      </c>
      <c r="Y2" s="98" t="s">
        <v>5</v>
      </c>
      <c r="AB2" s="98" t="s">
        <v>42</v>
      </c>
      <c r="AC2" s="98" t="s">
        <v>41</v>
      </c>
      <c r="AE2" s="98" t="s">
        <v>103</v>
      </c>
      <c r="AF2">
        <v>-1</v>
      </c>
      <c r="AG2">
        <v>-1</v>
      </c>
    </row>
    <row r="3" spans="2:33" x14ac:dyDescent="0.2">
      <c r="D3">
        <v>1</v>
      </c>
      <c r="E3">
        <v>1.4503278178273891E-3</v>
      </c>
      <c r="G3">
        <v>1.6650622458563649E-3</v>
      </c>
      <c r="I3">
        <v>1.5572715927027101E-3</v>
      </c>
      <c r="J3">
        <v>0</v>
      </c>
      <c r="K3">
        <v>1.6392009061303781E-3</v>
      </c>
      <c r="L3">
        <v>0</v>
      </c>
      <c r="M3">
        <v>1.6447883335690885E-3</v>
      </c>
      <c r="N3">
        <v>0</v>
      </c>
      <c r="O3">
        <v>1.1599164660907543E-3</v>
      </c>
      <c r="P3">
        <v>3.6870678182073126E-4</v>
      </c>
      <c r="Q3">
        <v>1.6813240832510611E-3</v>
      </c>
      <c r="R3">
        <v>3.6870678182073126E-4</v>
      </c>
      <c r="S3">
        <v>2.1085336670190525E-3</v>
      </c>
      <c r="T3">
        <v>1.1356235352E-5</v>
      </c>
      <c r="V3" s="106" t="s">
        <v>100</v>
      </c>
      <c r="W3">
        <f>ROUND(INDEX(ImperialDims[Height], MATCH(MetricDims[[#This Row],[Chamber]], ImperialDims[Chamber], 0)) * 25.4, 0)</f>
        <v>305</v>
      </c>
      <c r="X3">
        <f>ROUND(INDEX(ImperialDims[Width], MATCH(MetricDims[[#This Row],[Chamber]], ImperialDims[Chamber], 0)) * 25.4, 0)</f>
        <v>635</v>
      </c>
      <c r="Y3">
        <f>ROUND(INDEX(ImperialDims[Length], MATCH(MetricDims[[#This Row],[Chamber]], ImperialDims[Chamber], 0)) * 25.4, 0)</f>
        <v>2169</v>
      </c>
      <c r="AA3" s="98" t="s">
        <v>78</v>
      </c>
      <c r="AB3">
        <f>INDEX(MetricDims[Height], MATCH('Cumulative Volumes Metric'!F4, MetricDims[Chamber], 0))</f>
        <v>1524</v>
      </c>
      <c r="AC3">
        <f>AB3/1000</f>
        <v>1.524</v>
      </c>
      <c r="AD3">
        <f>INDEX(ImperialDims[Height], MATCH('Cumulative Volumes Metric'!F4, ImperialDims[Chamber], 0))</f>
        <v>60</v>
      </c>
      <c r="AE3" s="125">
        <f>ROUND('Cumulative Volumes Metric'!F10/25.4,0)</f>
        <v>12</v>
      </c>
      <c r="AF3" s="15">
        <f>IF(AF2&gt;=1,AF2+1,IF(AE3=0,1,-1))</f>
        <v>-1</v>
      </c>
      <c r="AG3" s="15">
        <f>IF(AND(AG2&gt;=1,AG2&lt;$AD$3),AG2+1,IF(AE3=0,1,-1))</f>
        <v>-1</v>
      </c>
    </row>
    <row r="4" spans="2:33" x14ac:dyDescent="0.2">
      <c r="B4" t="s">
        <v>111</v>
      </c>
      <c r="D4">
        <v>2</v>
      </c>
      <c r="E4">
        <v>3.8064392445503708E-3</v>
      </c>
      <c r="G4">
        <v>4.3809412139452514E-3</v>
      </c>
      <c r="I4">
        <v>4.6133213774442591E-3</v>
      </c>
      <c r="J4">
        <v>0</v>
      </c>
      <c r="K4">
        <v>4.7204343763274891E-3</v>
      </c>
      <c r="L4">
        <v>0</v>
      </c>
      <c r="M4">
        <v>5.4962647600171324E-3</v>
      </c>
      <c r="N4">
        <v>6.7740044715678283E-4</v>
      </c>
      <c r="O4">
        <v>3.2874650998160442E-3</v>
      </c>
      <c r="P4">
        <v>9.6029675775153569E-4</v>
      </c>
      <c r="Q4">
        <v>5.3852241257258716E-3</v>
      </c>
      <c r="R4">
        <v>9.6029675775153569E-4</v>
      </c>
      <c r="S4">
        <v>5.5713998870124942E-3</v>
      </c>
      <c r="T4">
        <v>1.0220611816800001E-4</v>
      </c>
      <c r="V4" s="97" t="s">
        <v>11</v>
      </c>
      <c r="W4">
        <f>ROUND(INDEX(ImperialDims[Height], MATCH(MetricDims[[#This Row],[Chamber]], ImperialDims[Chamber], 0)) * 25.4, 0)</f>
        <v>406</v>
      </c>
      <c r="X4">
        <f>ROUND(INDEX(ImperialDims[Width], MATCH(MetricDims[[#This Row],[Chamber]], ImperialDims[Chamber], 0)) * 25.4, 0)</f>
        <v>940</v>
      </c>
      <c r="Y4">
        <f>ROUND(INDEX(ImperialDims[Length], MATCH(MetricDims[[#This Row],[Chamber]], ImperialDims[Chamber], 0)) * 25.4, 0)</f>
        <v>2169</v>
      </c>
      <c r="AA4" t="s">
        <v>5</v>
      </c>
      <c r="AB4">
        <f>INDEX(MetricDims[Length], MATCH('Cumulative Volumes Metric'!F4, MetricDims[Chamber], 0))</f>
        <v>2010</v>
      </c>
      <c r="AC4">
        <f t="shared" ref="AC4:AC6" si="0">AB4/1000</f>
        <v>2.0099999999999998</v>
      </c>
      <c r="AE4" s="125">
        <f>AE3-1</f>
        <v>11</v>
      </c>
      <c r="AF4" s="15">
        <f t="shared" ref="AF4:AF67" si="1">IF(AF3&gt;=1,AF3+1,IF(AE4=0,1,-1))</f>
        <v>-1</v>
      </c>
      <c r="AG4" s="15">
        <f t="shared" ref="AG4:AG67" si="2">IF(AND(AG3&gt;=1,AG3&lt;$AD$3),AG3+1,IF(AE4=0,1,-1))</f>
        <v>-1</v>
      </c>
    </row>
    <row r="5" spans="2:33" x14ac:dyDescent="0.2">
      <c r="B5" t="s">
        <v>12</v>
      </c>
      <c r="D5">
        <v>3</v>
      </c>
      <c r="E5">
        <v>8.2283911511017247E-3</v>
      </c>
      <c r="G5">
        <v>7.5283149713566725E-3</v>
      </c>
      <c r="I5">
        <v>7.9836532058038517E-3</v>
      </c>
      <c r="J5">
        <v>1.1326738636800011E-4</v>
      </c>
      <c r="K5">
        <v>8.1159345887016256E-3</v>
      </c>
      <c r="L5">
        <v>1.1326738636800011E-4</v>
      </c>
      <c r="M5">
        <v>8.3239561093017399E-3</v>
      </c>
      <c r="N5">
        <v>1.0640331388278421E-3</v>
      </c>
      <c r="O5">
        <v>4.6647107461419519E-3</v>
      </c>
      <c r="P5">
        <v>1.4661081693331439E-3</v>
      </c>
      <c r="Q5">
        <v>7.7921019396853817E-3</v>
      </c>
      <c r="R5">
        <v>1.4661081693331439E-3</v>
      </c>
      <c r="S5">
        <v>8.0805089892756112E-3</v>
      </c>
      <c r="T5">
        <v>1.7412894206399998E-4</v>
      </c>
      <c r="V5" s="97" t="s">
        <v>12</v>
      </c>
      <c r="W5">
        <f>ROUND(INDEX(ImperialDims[Height], MATCH(MetricDims[[#This Row],[Chamber]], ImperialDims[Chamber], 0)) * 25.4, 0)</f>
        <v>762</v>
      </c>
      <c r="X5">
        <f>ROUND(INDEX(ImperialDims[Width], MATCH(MetricDims[[#This Row],[Chamber]], ImperialDims[Chamber], 0)) * 25.4, 0)</f>
        <v>1448</v>
      </c>
      <c r="Y5">
        <f>ROUND(INDEX(ImperialDims[Length], MATCH(MetricDims[[#This Row],[Chamber]], ImperialDims[Chamber], 0)) * 25.4, 0)</f>
        <v>2169</v>
      </c>
      <c r="AA5" t="s">
        <v>4</v>
      </c>
      <c r="AB5">
        <f>INDEX(MetricDims[Width], MATCH('Cumulative Volumes Metric'!F4, MetricDims[Chamber], 0))</f>
        <v>2769</v>
      </c>
      <c r="AC5">
        <f t="shared" si="0"/>
        <v>2.7690000000000001</v>
      </c>
      <c r="AE5" s="125">
        <f t="shared" ref="AE5:AE68" si="3">AE4-1</f>
        <v>10</v>
      </c>
      <c r="AF5" s="15">
        <f t="shared" si="1"/>
        <v>-1</v>
      </c>
      <c r="AG5" s="15">
        <f t="shared" si="2"/>
        <v>-1</v>
      </c>
    </row>
    <row r="6" spans="2:33" x14ac:dyDescent="0.2">
      <c r="B6" t="s">
        <v>13</v>
      </c>
      <c r="D6">
        <v>4</v>
      </c>
      <c r="E6">
        <v>1.2513843158268719E-2</v>
      </c>
      <c r="G6">
        <v>1.5426651257376045E-2</v>
      </c>
      <c r="I6">
        <v>1.7102191388613564E-2</v>
      </c>
      <c r="J6">
        <v>1.6990107955199387E-4</v>
      </c>
      <c r="K6">
        <v>1.7302802208693169E-2</v>
      </c>
      <c r="L6">
        <v>1.6990107955199387E-4</v>
      </c>
      <c r="M6">
        <v>1.1429886450516858E-2</v>
      </c>
      <c r="N6">
        <v>1.4595865210780192E-3</v>
      </c>
      <c r="O6">
        <v>5.9103766105055681E-3</v>
      </c>
      <c r="P6">
        <v>1.8688950870736228E-3</v>
      </c>
      <c r="Q6">
        <v>1.0116122893954676E-2</v>
      </c>
      <c r="R6">
        <v>1.8688950870736228E-3</v>
      </c>
      <c r="S6">
        <v>1.4301061750902195E-2</v>
      </c>
      <c r="T6">
        <v>2.4605176596000002E-4</v>
      </c>
      <c r="V6" s="97" t="s">
        <v>13</v>
      </c>
      <c r="W6">
        <f>ROUND(INDEX(ImperialDims[Height], MATCH(MetricDims[[#This Row],[Chamber]], ImperialDims[Chamber], 0)) * 25.4, 0)</f>
        <v>762</v>
      </c>
      <c r="X6">
        <f>ROUND(INDEX(ImperialDims[Width], MATCH(MetricDims[[#This Row],[Chamber]], ImperialDims[Chamber], 0)) * 25.4, 0)</f>
        <v>1448</v>
      </c>
      <c r="Y6">
        <f>ROUND(INDEX(ImperialDims[Length], MATCH(MetricDims[[#This Row],[Chamber]], ImperialDims[Chamber], 0)) * 25.4, 0)</f>
        <v>2169</v>
      </c>
      <c r="AA6" s="98" t="s">
        <v>57</v>
      </c>
      <c r="AB6" s="99">
        <f>AB3+'Cumulative Volumes Metric'!F10+'Cumulative Volumes Metric'!F11</f>
        <v>2058</v>
      </c>
      <c r="AC6">
        <f t="shared" si="0"/>
        <v>2.0579999999999998</v>
      </c>
      <c r="AE6" s="125">
        <f t="shared" si="3"/>
        <v>9</v>
      </c>
      <c r="AF6" s="15">
        <f t="shared" si="1"/>
        <v>-1</v>
      </c>
      <c r="AG6" s="15">
        <f t="shared" si="2"/>
        <v>-1</v>
      </c>
    </row>
    <row r="7" spans="2:33" x14ac:dyDescent="0.2">
      <c r="B7" t="s">
        <v>101</v>
      </c>
      <c r="D7">
        <v>5</v>
      </c>
      <c r="E7">
        <v>1.5267189390721596E-2</v>
      </c>
      <c r="G7">
        <v>1.9936088016608611E-2</v>
      </c>
      <c r="I7">
        <v>2.2701768737447628E-2</v>
      </c>
      <c r="J7">
        <v>3.1148531251200343E-4</v>
      </c>
      <c r="K7">
        <v>2.2947532493274875E-2</v>
      </c>
      <c r="L7">
        <v>3.1148531251200343E-4</v>
      </c>
      <c r="M7">
        <v>1.9458609939119385E-2</v>
      </c>
      <c r="N7">
        <v>1.9134745213495073E-3</v>
      </c>
      <c r="O7">
        <v>7.5986079569587287E-3</v>
      </c>
      <c r="P7">
        <v>2.3522746708196959E-3</v>
      </c>
      <c r="Q7">
        <v>1.2980261645193192E-2</v>
      </c>
      <c r="R7">
        <v>2.3522746708196959E-3</v>
      </c>
      <c r="S7">
        <v>2.097238937493371E-2</v>
      </c>
      <c r="T7">
        <v>3.89897413752E-4</v>
      </c>
      <c r="V7" s="97" t="s">
        <v>101</v>
      </c>
      <c r="W7">
        <f>ROUND(INDEX(ImperialDims[Height], MATCH(MetricDims[[#This Row],[Chamber]], ImperialDims[Chamber], 0)) * 25.4, 0)</f>
        <v>838</v>
      </c>
      <c r="X7">
        <f>ROUND(INDEX(ImperialDims[Width], MATCH(MetricDims[[#This Row],[Chamber]], ImperialDims[Chamber], 0)) * 25.4, 0)</f>
        <v>1448</v>
      </c>
      <c r="Y7">
        <f>ROUND(INDEX(ImperialDims[Length], MATCH(MetricDims[[#This Row],[Chamber]], ImperialDims[Chamber], 0)) * 25.4, 0)</f>
        <v>2169</v>
      </c>
      <c r="AA7" s="98" t="s">
        <v>116</v>
      </c>
      <c r="AB7">
        <f>INDEX(MetricECStone[Millimeter], MATCH('Cumulative Volumes Metric'!F4, MetricECStone[Chamber], 0))</f>
        <v>1137.9199999999998</v>
      </c>
      <c r="AC7">
        <f>AB7/1000</f>
        <v>1.1379199999999998</v>
      </c>
      <c r="AE7" s="125">
        <f t="shared" si="3"/>
        <v>8</v>
      </c>
      <c r="AF7" s="15">
        <f t="shared" si="1"/>
        <v>-1</v>
      </c>
      <c r="AG7" s="15">
        <f t="shared" si="2"/>
        <v>-1</v>
      </c>
    </row>
    <row r="8" spans="2:33" x14ac:dyDescent="0.2">
      <c r="B8" t="s">
        <v>16</v>
      </c>
      <c r="D8">
        <v>6</v>
      </c>
      <c r="E8">
        <v>1.7452571743363964E-2</v>
      </c>
      <c r="G8">
        <v>2.3347884796830642E-2</v>
      </c>
      <c r="I8">
        <v>2.6919759204199242E-2</v>
      </c>
      <c r="J8">
        <v>5.3802008524799101E-4</v>
      </c>
      <c r="K8">
        <v>2.7157080843833982E-2</v>
      </c>
      <c r="L8">
        <v>5.3802008524799101E-4</v>
      </c>
      <c r="M8">
        <v>2.9117846807305777E-2</v>
      </c>
      <c r="N8">
        <v>2.4980690318936066E-3</v>
      </c>
      <c r="O8">
        <v>1.2821482089763655E-2</v>
      </c>
      <c r="P8">
        <v>2.9826640237858612E-3</v>
      </c>
      <c r="Q8">
        <v>2.1000672801925548E-2</v>
      </c>
      <c r="R8">
        <v>2.9826640237858612E-3</v>
      </c>
      <c r="S8">
        <v>2.5266670369033468E-2</v>
      </c>
      <c r="T8">
        <v>6.8515953290399997E-4</v>
      </c>
      <c r="V8" s="97" t="s">
        <v>16</v>
      </c>
      <c r="W8">
        <f>ROUND(INDEX(ImperialDims[Height], MATCH(MetricDims[[#This Row],[Chamber]], ImperialDims[Chamber], 0)) * 25.4, 0)</f>
        <v>1143</v>
      </c>
      <c r="X8">
        <f>ROUND(INDEX(ImperialDims[Width], MATCH(MetricDims[[#This Row],[Chamber]], ImperialDims[Chamber], 0)) * 25.4, 0)</f>
        <v>2108</v>
      </c>
      <c r="Y8">
        <f>ROUND(INDEX(ImperialDims[Length], MATCH(MetricDims[[#This Row],[Chamber]], ImperialDims[Chamber], 0)) * 25.4, 0)</f>
        <v>2184</v>
      </c>
      <c r="AE8" s="125">
        <f t="shared" si="3"/>
        <v>7</v>
      </c>
      <c r="AF8" s="15">
        <f t="shared" si="1"/>
        <v>-1</v>
      </c>
      <c r="AG8" s="15">
        <f t="shared" si="2"/>
        <v>-1</v>
      </c>
    </row>
    <row r="9" spans="2:33" x14ac:dyDescent="0.2">
      <c r="B9" t="s">
        <v>20</v>
      </c>
      <c r="D9">
        <v>7</v>
      </c>
      <c r="E9">
        <v>1.9276417503546125E-2</v>
      </c>
      <c r="G9">
        <v>2.6180285085160189E-2</v>
      </c>
      <c r="I9">
        <v>3.0426557805150471E-2</v>
      </c>
      <c r="J9">
        <v>7.9287170457600074E-4</v>
      </c>
      <c r="K9">
        <v>3.0666482514512334E-2</v>
      </c>
      <c r="L9">
        <v>7.9287170457600074E-4</v>
      </c>
      <c r="M9">
        <v>3.538231912784924E-2</v>
      </c>
      <c r="N9">
        <v>3.0347547122976334E-3</v>
      </c>
      <c r="O9">
        <v>1.8837907121619615E-2</v>
      </c>
      <c r="P9">
        <v>3.7492280900467295E-3</v>
      </c>
      <c r="Q9">
        <v>3.1045550899051057E-2</v>
      </c>
      <c r="R9">
        <v>3.7492280900467295E-3</v>
      </c>
      <c r="S9">
        <v>2.8738087504559622E-2</v>
      </c>
      <c r="T9">
        <v>9.539237695679999E-4</v>
      </c>
      <c r="V9" s="97" t="s">
        <v>20</v>
      </c>
      <c r="W9">
        <f>ROUND(INDEX(ImperialDims[Height], MATCH(MetricDims[[#This Row],[Chamber]], ImperialDims[Chamber], 0)) * 25.4, 0)</f>
        <v>1524</v>
      </c>
      <c r="X9">
        <f>ROUND(INDEX(ImperialDims[Width], MATCH(MetricDims[[#This Row],[Chamber]], ImperialDims[Chamber], 0)) * 25.4, 0)</f>
        <v>2769</v>
      </c>
      <c r="Y9">
        <f>ROUND(INDEX(ImperialDims[Length], MATCH(MetricDims[[#This Row],[Chamber]], ImperialDims[Chamber], 0)) * 25.4, 0)</f>
        <v>1227</v>
      </c>
      <c r="AE9" s="125">
        <f t="shared" si="3"/>
        <v>6</v>
      </c>
      <c r="AF9" s="15">
        <f t="shared" si="1"/>
        <v>-1</v>
      </c>
      <c r="AG9" s="15">
        <f t="shared" si="2"/>
        <v>-1</v>
      </c>
    </row>
    <row r="10" spans="2:33" x14ac:dyDescent="0.2">
      <c r="B10" t="s">
        <v>21</v>
      </c>
      <c r="D10">
        <v>8</v>
      </c>
      <c r="E10">
        <v>2.0837579018987834E-2</v>
      </c>
      <c r="G10">
        <v>2.8741239008377745E-2</v>
      </c>
      <c r="I10">
        <v>3.342745974064109E-2</v>
      </c>
      <c r="J10">
        <v>1.0477233239040104E-3</v>
      </c>
      <c r="K10">
        <v>3.3630956817216465E-2</v>
      </c>
      <c r="L10">
        <v>1.0477233239040104E-3</v>
      </c>
      <c r="M10">
        <v>4.0272608523290371E-2</v>
      </c>
      <c r="N10">
        <v>3.5784793361467583E-3</v>
      </c>
      <c r="O10">
        <v>2.2625384680730359E-2</v>
      </c>
      <c r="P10">
        <v>4.5587149936288955E-3</v>
      </c>
      <c r="Q10">
        <v>3.7334957949880093E-2</v>
      </c>
      <c r="R10">
        <v>4.5587149936288955E-3</v>
      </c>
      <c r="S10">
        <v>3.1718276247790868E-2</v>
      </c>
      <c r="T10">
        <v>1.2264734180159999E-3</v>
      </c>
      <c r="V10" s="106" t="s">
        <v>21</v>
      </c>
      <c r="W10">
        <f>ROUND(INDEX(ImperialDims[Height], MATCH(MetricDims[[#This Row],[Chamber]], ImperialDims[Chamber], 0)) * 25.4, 0)</f>
        <v>1524</v>
      </c>
      <c r="X10">
        <f>ROUND(INDEX(ImperialDims[Width], MATCH(MetricDims[[#This Row],[Chamber]], ImperialDims[Chamber], 0)) * 25.4, 0)</f>
        <v>2769</v>
      </c>
      <c r="Y10">
        <f>ROUND(INDEX(ImperialDims[Length], MATCH(MetricDims[[#This Row],[Chamber]], ImperialDims[Chamber], 0)) * 25.4, 0)</f>
        <v>2010</v>
      </c>
      <c r="AA10" t="s">
        <v>120</v>
      </c>
      <c r="AB10" s="99">
        <f>'Cumulative Volumes Metric'!F10</f>
        <v>305</v>
      </c>
      <c r="AC10">
        <f>ROUND(AB10/25.4,0)</f>
        <v>12</v>
      </c>
      <c r="AE10" s="125">
        <f t="shared" si="3"/>
        <v>5</v>
      </c>
      <c r="AF10" s="15">
        <f t="shared" si="1"/>
        <v>-1</v>
      </c>
      <c r="AG10" s="15">
        <f t="shared" si="2"/>
        <v>-1</v>
      </c>
    </row>
    <row r="11" spans="2:33" x14ac:dyDescent="0.2">
      <c r="D11">
        <v>9</v>
      </c>
      <c r="E11">
        <v>2.2183252084578737E-2</v>
      </c>
      <c r="G11">
        <v>3.0994003016961067E-2</v>
      </c>
      <c r="I11">
        <v>3.5839153963534535E-2</v>
      </c>
      <c r="J11">
        <v>1.2176244034559918E-3</v>
      </c>
      <c r="K11">
        <v>3.6074374628344799E-2</v>
      </c>
      <c r="L11">
        <v>1.2176244034559918E-3</v>
      </c>
      <c r="M11">
        <v>4.4545774316862463E-2</v>
      </c>
      <c r="N11">
        <v>4.0895411103771036E-3</v>
      </c>
      <c r="O11">
        <v>2.5715019680022749E-2</v>
      </c>
      <c r="P11">
        <v>5.3430046722354567E-3</v>
      </c>
      <c r="Q11">
        <v>4.2424797394874092E-2</v>
      </c>
      <c r="R11">
        <v>5.3430046722354567E-3</v>
      </c>
      <c r="S11">
        <v>3.4341386041534985E-2</v>
      </c>
      <c r="T11">
        <v>1.4952376546799998E-3</v>
      </c>
      <c r="AA11" t="s">
        <v>121</v>
      </c>
      <c r="AB11" s="99">
        <f>'Cumulative Volumes Metric'!F11</f>
        <v>229</v>
      </c>
      <c r="AC11">
        <f t="shared" ref="AC11:AC12" si="4">ROUND(AB11/25.4,0)</f>
        <v>9</v>
      </c>
      <c r="AE11" s="125">
        <f t="shared" si="3"/>
        <v>4</v>
      </c>
      <c r="AF11" s="15">
        <f t="shared" si="1"/>
        <v>-1</v>
      </c>
      <c r="AG11" s="15">
        <f t="shared" si="2"/>
        <v>-1</v>
      </c>
    </row>
    <row r="12" spans="2:33" x14ac:dyDescent="0.2">
      <c r="D12">
        <v>10</v>
      </c>
      <c r="E12">
        <v>2.3358556585308939E-2</v>
      </c>
      <c r="G12">
        <v>3.2685307257074726E-2</v>
      </c>
      <c r="I12">
        <v>3.8369292767211502E-2</v>
      </c>
      <c r="J12">
        <v>1.5574265625600046E-3</v>
      </c>
      <c r="K12">
        <v>3.8625645759592403E-2</v>
      </c>
      <c r="L12">
        <v>1.5574265625600046E-3</v>
      </c>
      <c r="M12">
        <v>4.8340708197650004E-2</v>
      </c>
      <c r="N12">
        <v>4.6112087875631652E-3</v>
      </c>
      <c r="O12">
        <v>2.8398828826277703E-2</v>
      </c>
      <c r="P12">
        <v>6.1878889990090091E-3</v>
      </c>
      <c r="Q12">
        <v>4.6849492566898403E-2</v>
      </c>
      <c r="R12">
        <v>6.1878889990090091E-3</v>
      </c>
      <c r="S12">
        <v>3.6708505261566889E-2</v>
      </c>
      <c r="T12">
        <v>1.76021647956E-3</v>
      </c>
      <c r="AA12" t="s">
        <v>81</v>
      </c>
      <c r="AB12">
        <f>AB3</f>
        <v>1524</v>
      </c>
      <c r="AC12">
        <f t="shared" si="4"/>
        <v>60</v>
      </c>
      <c r="AE12" s="125">
        <f t="shared" si="3"/>
        <v>3</v>
      </c>
      <c r="AF12" s="15">
        <f t="shared" si="1"/>
        <v>-1</v>
      </c>
      <c r="AG12" s="15">
        <f t="shared" si="2"/>
        <v>-1</v>
      </c>
    </row>
    <row r="13" spans="2:33" x14ac:dyDescent="0.2">
      <c r="D13">
        <v>11</v>
      </c>
      <c r="E13">
        <v>2.4362216295896452E-2</v>
      </c>
      <c r="G13">
        <v>3.4402928607211947E-2</v>
      </c>
      <c r="I13">
        <v>4.1175124933796971E-2</v>
      </c>
      <c r="J13">
        <v>1.8122781818880017E-3</v>
      </c>
      <c r="K13">
        <v>4.1183755911085841E-2</v>
      </c>
      <c r="L13">
        <v>1.8122781818880017E-3</v>
      </c>
      <c r="M13">
        <v>5.1776822879795979E-2</v>
      </c>
      <c r="N13">
        <v>5.1448987625036446E-3</v>
      </c>
      <c r="O13">
        <v>3.0789565906838495E-2</v>
      </c>
      <c r="P13">
        <v>6.9923460285996625E-3</v>
      </c>
      <c r="Q13">
        <v>5.0798968143848329E-2</v>
      </c>
      <c r="R13">
        <v>6.9923460285996625E-3</v>
      </c>
      <c r="S13">
        <v>3.8857880402784283E-2</v>
      </c>
      <c r="T13">
        <v>1.9949120101679998E-3</v>
      </c>
      <c r="AB13" s="127" t="s">
        <v>122</v>
      </c>
      <c r="AC13">
        <f>SUM(AC10:AC12)</f>
        <v>81</v>
      </c>
      <c r="AE13" s="125">
        <f t="shared" si="3"/>
        <v>2</v>
      </c>
      <c r="AF13" s="15">
        <f t="shared" si="1"/>
        <v>-1</v>
      </c>
      <c r="AG13" s="15">
        <f t="shared" si="2"/>
        <v>-1</v>
      </c>
    </row>
    <row r="14" spans="2:33" x14ac:dyDescent="0.2">
      <c r="D14">
        <v>12</v>
      </c>
      <c r="E14">
        <v>2.533356765941841E-2</v>
      </c>
      <c r="G14">
        <v>3.6100274663563928E-2</v>
      </c>
      <c r="I14">
        <v>4.3175048898537453E-2</v>
      </c>
      <c r="J14">
        <v>2.0388129546240019E-3</v>
      </c>
      <c r="K14">
        <v>4.3240747557695122E-2</v>
      </c>
      <c r="L14">
        <v>2.0388129546240019E-3</v>
      </c>
      <c r="M14">
        <v>5.4870984567464316E-2</v>
      </c>
      <c r="N14">
        <v>5.6781338432345769E-3</v>
      </c>
      <c r="O14">
        <v>3.2945833781679111E-2</v>
      </c>
      <c r="P14">
        <v>7.7950601727311353E-3</v>
      </c>
      <c r="Q14">
        <v>5.4358033979894797E-2</v>
      </c>
      <c r="R14">
        <v>7.7950601727311353E-3</v>
      </c>
      <c r="S14">
        <v>4.082185667586119E-2</v>
      </c>
      <c r="T14">
        <v>2.210680481856E-3</v>
      </c>
      <c r="AE14" s="125">
        <f t="shared" si="3"/>
        <v>1</v>
      </c>
      <c r="AF14" s="15">
        <f t="shared" si="1"/>
        <v>-1</v>
      </c>
      <c r="AG14" s="15">
        <f t="shared" si="2"/>
        <v>-1</v>
      </c>
    </row>
    <row r="15" spans="2:33" x14ac:dyDescent="0.2">
      <c r="D15">
        <v>13</v>
      </c>
      <c r="G15">
        <v>3.7507154593350141E-2</v>
      </c>
      <c r="I15">
        <v>4.4806070759985529E-2</v>
      </c>
      <c r="J15">
        <v>2.2653477273599895E-3</v>
      </c>
      <c r="K15">
        <v>4.5053047996601939E-2</v>
      </c>
      <c r="L15">
        <v>2.2653477273599895E-3</v>
      </c>
      <c r="M15">
        <v>5.778912699985856E-2</v>
      </c>
      <c r="N15">
        <v>6.1803622201152299E-3</v>
      </c>
      <c r="O15">
        <v>3.4942949454905996E-2</v>
      </c>
      <c r="P15">
        <v>8.547170041059109E-3</v>
      </c>
      <c r="Q15">
        <v>5.7693239699844821E-2</v>
      </c>
      <c r="R15">
        <v>8.547170041059109E-3</v>
      </c>
      <c r="S15">
        <v>4.2635972044812426E-2</v>
      </c>
      <c r="T15">
        <v>2.4302343653279999E-3</v>
      </c>
      <c r="AE15" s="125">
        <f t="shared" si="3"/>
        <v>0</v>
      </c>
      <c r="AF15" s="15">
        <f t="shared" si="1"/>
        <v>1</v>
      </c>
      <c r="AG15" s="15">
        <f t="shared" si="2"/>
        <v>1</v>
      </c>
    </row>
    <row r="16" spans="2:33" x14ac:dyDescent="0.2">
      <c r="D16">
        <v>14</v>
      </c>
      <c r="G16">
        <v>3.865170777309529E-2</v>
      </c>
      <c r="I16">
        <v>4.6503754568670327E-2</v>
      </c>
      <c r="J16">
        <v>2.5201993466880119E-3</v>
      </c>
      <c r="K16">
        <v>4.6764869885317834E-2</v>
      </c>
      <c r="L16">
        <v>2.5201993466880119E-3</v>
      </c>
      <c r="M16">
        <v>6.0447063853886512E-2</v>
      </c>
      <c r="N16">
        <v>6.653842172781331E-3</v>
      </c>
      <c r="O16">
        <v>3.6802479116522541E-2</v>
      </c>
      <c r="P16">
        <v>9.2738385954977461E-3</v>
      </c>
      <c r="Q16">
        <v>6.0748314030864448E-2</v>
      </c>
      <c r="R16">
        <v>9.2738385954977461E-3</v>
      </c>
      <c r="S16">
        <v>4.432740724710324E-2</v>
      </c>
      <c r="T16">
        <v>2.6573590723679998E-3</v>
      </c>
      <c r="V16" s="98" t="s">
        <v>113</v>
      </c>
      <c r="W16" s="98" t="s">
        <v>1</v>
      </c>
      <c r="X16" s="98" t="s">
        <v>118</v>
      </c>
      <c r="Y16" s="98" t="s">
        <v>117</v>
      </c>
      <c r="AE16" s="125">
        <f t="shared" si="3"/>
        <v>-1</v>
      </c>
      <c r="AF16" s="15">
        <f t="shared" si="1"/>
        <v>2</v>
      </c>
      <c r="AG16" s="15">
        <f t="shared" si="2"/>
        <v>2</v>
      </c>
    </row>
    <row r="17" spans="4:33" x14ac:dyDescent="0.2">
      <c r="D17">
        <v>15</v>
      </c>
      <c r="G17">
        <v>3.9784715498981452E-2</v>
      </c>
      <c r="I17">
        <v>4.8124419903409002E-2</v>
      </c>
      <c r="J17">
        <v>2.5201993466879989E-3</v>
      </c>
      <c r="K17">
        <v>4.8389446694039398E-2</v>
      </c>
      <c r="L17">
        <v>2.5201993466879989E-3</v>
      </c>
      <c r="M17">
        <v>6.2982356222568231E-2</v>
      </c>
      <c r="N17">
        <v>7.0937370323749544E-3</v>
      </c>
      <c r="O17">
        <v>3.8539672377177203E-2</v>
      </c>
      <c r="P17">
        <v>1.0038376044173736E-2</v>
      </c>
      <c r="Q17">
        <v>6.3647104629761156E-2</v>
      </c>
      <c r="R17">
        <v>1.0038376044173736E-2</v>
      </c>
      <c r="S17">
        <v>4.5905965663723208E-2</v>
      </c>
      <c r="T17">
        <v>2.8958400147599999E-3</v>
      </c>
      <c r="V17" t="s">
        <v>79</v>
      </c>
      <c r="W17" s="98" t="s">
        <v>16</v>
      </c>
      <c r="X17">
        <f>INDEX(ImperialECStone[Inches], MATCH(MetricECStone[[#This Row],[Chamber]], ImperialECStone[Chamber], 0)) * 25.4</f>
        <v>716.28</v>
      </c>
      <c r="Y17">
        <f t="shared" ref="Y17:Y24" si="5">X17/1000</f>
        <v>0.71628000000000003</v>
      </c>
      <c r="AE17" s="125">
        <f t="shared" si="3"/>
        <v>-2</v>
      </c>
      <c r="AF17" s="15">
        <f t="shared" si="1"/>
        <v>3</v>
      </c>
      <c r="AG17" s="15">
        <f t="shared" si="2"/>
        <v>3</v>
      </c>
    </row>
    <row r="18" spans="4:33" x14ac:dyDescent="0.2">
      <c r="D18">
        <v>16</v>
      </c>
      <c r="G18">
        <v>4.0623462160816366E-2</v>
      </c>
      <c r="I18">
        <v>4.96369316364361E-2</v>
      </c>
      <c r="J18">
        <v>2.8316846591999963E-3</v>
      </c>
      <c r="K18">
        <v>4.9911036386804462E-2</v>
      </c>
      <c r="L18">
        <v>2.8316846591999963E-3</v>
      </c>
      <c r="M18">
        <v>6.5320443437632728E-2</v>
      </c>
      <c r="N18">
        <v>7.5202585954735023E-3</v>
      </c>
      <c r="O18">
        <v>4.0173149369955939E-2</v>
      </c>
      <c r="P18">
        <v>1.0865043182783521E-2</v>
      </c>
      <c r="Q18">
        <v>6.6349799801783904E-2</v>
      </c>
      <c r="R18">
        <v>1.0865043182783521E-2</v>
      </c>
      <c r="S18">
        <v>4.7384448040993378E-2</v>
      </c>
      <c r="T18">
        <v>3.119179310016E-3</v>
      </c>
      <c r="V18" t="s">
        <v>80</v>
      </c>
      <c r="W18" s="98" t="s">
        <v>21</v>
      </c>
      <c r="X18">
        <f>INDEX(ImperialECStone[Inches], MATCH(MetricECStone[[#This Row],[Chamber]], ImperialECStone[Chamber], 0)) * 25.4</f>
        <v>1137.9199999999998</v>
      </c>
      <c r="Y18">
        <f t="shared" si="5"/>
        <v>1.1379199999999998</v>
      </c>
      <c r="AE18" s="125">
        <f t="shared" si="3"/>
        <v>-3</v>
      </c>
      <c r="AF18" s="15">
        <f t="shared" si="1"/>
        <v>4</v>
      </c>
      <c r="AG18" s="15">
        <f t="shared" si="2"/>
        <v>4</v>
      </c>
    </row>
    <row r="19" spans="4:33" x14ac:dyDescent="0.2">
      <c r="D19">
        <v>17</v>
      </c>
      <c r="I19">
        <v>5.1049483222426729E-2</v>
      </c>
      <c r="J19">
        <v>2.9449520455679962E-3</v>
      </c>
      <c r="K19">
        <v>5.1338522724054918E-2</v>
      </c>
      <c r="L19">
        <v>2.9449520455679962E-3</v>
      </c>
      <c r="M19">
        <v>6.7528527254707579E-2</v>
      </c>
      <c r="N19">
        <v>7.9276900659243834E-3</v>
      </c>
      <c r="O19">
        <v>4.1719578932464932E-2</v>
      </c>
      <c r="P19">
        <v>1.158698201897212E-2</v>
      </c>
      <c r="Q19">
        <v>6.890695087073484E-2</v>
      </c>
      <c r="R19">
        <v>1.158698201897212E-2</v>
      </c>
      <c r="S19">
        <v>4.8773536156432193E-2</v>
      </c>
      <c r="T19">
        <v>3.3273769581360002E-3</v>
      </c>
      <c r="V19" t="s">
        <v>80</v>
      </c>
      <c r="W19" s="98" t="s">
        <v>20</v>
      </c>
      <c r="X19">
        <f>INDEX(ImperialECStone[Inches], MATCH(MetricECStone[[#This Row],[Chamber]], ImperialECStone[Chamber], 0)) * 25.4</f>
        <v>1137.9199999999998</v>
      </c>
      <c r="Y19">
        <f t="shared" si="5"/>
        <v>1.1379199999999998</v>
      </c>
      <c r="AE19" s="125">
        <f t="shared" si="3"/>
        <v>-4</v>
      </c>
      <c r="AF19" s="15">
        <f t="shared" si="1"/>
        <v>5</v>
      </c>
      <c r="AG19" s="15">
        <f t="shared" si="2"/>
        <v>5</v>
      </c>
    </row>
    <row r="20" spans="4:33" x14ac:dyDescent="0.2">
      <c r="D20">
        <v>18</v>
      </c>
      <c r="I20">
        <v>5.2527243433437634E-2</v>
      </c>
      <c r="J20">
        <v>3.2281205114880031E-3</v>
      </c>
      <c r="K20">
        <v>5.2675356080985426E-2</v>
      </c>
      <c r="L20">
        <v>3.2281205114880031E-3</v>
      </c>
      <c r="M20">
        <v>6.9633138892821855E-2</v>
      </c>
      <c r="N20">
        <v>8.3233709006386852E-3</v>
      </c>
      <c r="O20">
        <v>4.3187080277502433E-2</v>
      </c>
      <c r="P20">
        <v>1.2484225966303294E-2</v>
      </c>
      <c r="Q20">
        <v>7.1331230638538967E-2</v>
      </c>
      <c r="R20">
        <v>1.2484225966303294E-2</v>
      </c>
      <c r="S20">
        <v>5.0080536955246335E-2</v>
      </c>
      <c r="T20">
        <v>3.5090767237680003E-3</v>
      </c>
      <c r="W20" s="98" t="s">
        <v>100</v>
      </c>
      <c r="X20">
        <f>INDEX(ImperialECStone[Inches], MATCH(MetricECStone[[#This Row],[Chamber]], ImperialECStone[Chamber], 0)) * 25.4</f>
        <v>0</v>
      </c>
      <c r="Y20">
        <f t="shared" si="5"/>
        <v>0</v>
      </c>
      <c r="AE20" s="125">
        <f t="shared" si="3"/>
        <v>-5</v>
      </c>
      <c r="AF20" s="15">
        <f t="shared" si="1"/>
        <v>6</v>
      </c>
      <c r="AG20" s="15">
        <f t="shared" si="2"/>
        <v>6</v>
      </c>
    </row>
    <row r="21" spans="4:33" x14ac:dyDescent="0.2">
      <c r="D21">
        <v>19</v>
      </c>
      <c r="I21">
        <v>5.3605841081064073E-2</v>
      </c>
      <c r="J21">
        <v>3.4263384376319998E-3</v>
      </c>
      <c r="K21">
        <v>5.3930953136061208E-2</v>
      </c>
      <c r="L21">
        <v>3.4263384376319998E-3</v>
      </c>
      <c r="M21">
        <v>7.1589181367690588E-2</v>
      </c>
      <c r="N21">
        <v>8.7176125312873227E-3</v>
      </c>
      <c r="O21">
        <v>4.4584165935154942E-2</v>
      </c>
      <c r="P21">
        <v>1.3274319694180867E-2</v>
      </c>
      <c r="Q21">
        <v>7.3639239699844414E-2</v>
      </c>
      <c r="R21">
        <v>1.3274319694180867E-2</v>
      </c>
      <c r="S21">
        <v>5.1311660661251014E-2</v>
      </c>
      <c r="T21">
        <v>3.6339953126399999E-3</v>
      </c>
      <c r="W21" t="s">
        <v>11</v>
      </c>
      <c r="X21">
        <f>INDEX(ImperialECStone[Inches], MATCH(MetricECStone[[#This Row],[Chamber]], ImperialECStone[Chamber], 0)) * 25.4</f>
        <v>0</v>
      </c>
      <c r="Y21">
        <f t="shared" si="5"/>
        <v>0</v>
      </c>
      <c r="AE21" s="125">
        <f t="shared" si="3"/>
        <v>-6</v>
      </c>
      <c r="AF21" s="15">
        <f t="shared" si="1"/>
        <v>7</v>
      </c>
      <c r="AG21" s="15">
        <f t="shared" si="2"/>
        <v>7</v>
      </c>
    </row>
    <row r="22" spans="4:33" x14ac:dyDescent="0.2">
      <c r="D22">
        <v>20</v>
      </c>
      <c r="I22">
        <v>5.4764395572126E-2</v>
      </c>
      <c r="J22">
        <v>3.2281205114880031E-3</v>
      </c>
      <c r="K22">
        <v>5.5108357921563024E-2</v>
      </c>
      <c r="L22">
        <v>3.2281205114880031E-3</v>
      </c>
      <c r="M22">
        <v>7.3445956675633514E-2</v>
      </c>
      <c r="N22">
        <v>9.0946124648017407E-3</v>
      </c>
      <c r="O22">
        <v>4.5912172731134057E-2</v>
      </c>
      <c r="P22">
        <v>1.4023498796545525E-2</v>
      </c>
      <c r="Q22">
        <v>7.5843537023927002E-2</v>
      </c>
      <c r="R22">
        <v>1.4023498796545525E-2</v>
      </c>
      <c r="S22">
        <v>5.2473257667920312E-2</v>
      </c>
      <c r="T22">
        <v>3.8611200196799998E-3</v>
      </c>
      <c r="V22" s="98" t="s">
        <v>80</v>
      </c>
      <c r="W22" t="s">
        <v>12</v>
      </c>
      <c r="X22">
        <f>INDEX(ImperialECStone[Inches], MATCH(MetricECStone[[#This Row],[Chamber]], ImperialECStone[Chamber], 0)) * 25.4</f>
        <v>549.91</v>
      </c>
      <c r="Y22">
        <f t="shared" si="5"/>
        <v>0.54991000000000001</v>
      </c>
      <c r="AE22" s="125">
        <f t="shared" si="3"/>
        <v>-7</v>
      </c>
      <c r="AF22" s="15">
        <f t="shared" si="1"/>
        <v>8</v>
      </c>
      <c r="AG22" s="15">
        <f t="shared" si="2"/>
        <v>8</v>
      </c>
    </row>
    <row r="23" spans="4:33" x14ac:dyDescent="0.2">
      <c r="D23">
        <v>21</v>
      </c>
      <c r="I23">
        <v>5.5925218011441881E-2</v>
      </c>
      <c r="J23">
        <v>3.7944574433279974E-3</v>
      </c>
      <c r="K23">
        <v>5.6215047996602048E-2</v>
      </c>
      <c r="L23">
        <v>3.7944574433279974E-3</v>
      </c>
      <c r="M23">
        <v>7.5210459294917154E-2</v>
      </c>
      <c r="N23">
        <v>9.4703859137027155E-3</v>
      </c>
      <c r="O23">
        <v>4.7181885601019581E-2</v>
      </c>
      <c r="P23">
        <v>1.4743983293218124E-2</v>
      </c>
      <c r="Q23">
        <v>7.7943330879229999E-2</v>
      </c>
      <c r="R23">
        <v>1.4743983293218124E-2</v>
      </c>
      <c r="S23">
        <v>5.356990090418548E-2</v>
      </c>
      <c r="T23">
        <v>4.0503906088800003E-3</v>
      </c>
      <c r="V23" s="98" t="s">
        <v>80</v>
      </c>
      <c r="W23" t="s">
        <v>13</v>
      </c>
      <c r="X23">
        <f>INDEX(ImperialECStone[Inches], MATCH(MetricECStone[[#This Row],[Chamber]], ImperialECStone[Chamber], 0)) * 25.4</f>
        <v>549.91</v>
      </c>
      <c r="Y23">
        <f t="shared" si="5"/>
        <v>0.54991000000000001</v>
      </c>
      <c r="AE23" s="125">
        <f t="shared" si="3"/>
        <v>-8</v>
      </c>
      <c r="AF23" s="15">
        <f t="shared" si="1"/>
        <v>9</v>
      </c>
      <c r="AG23" s="15">
        <f t="shared" si="2"/>
        <v>9</v>
      </c>
    </row>
    <row r="24" spans="4:33" x14ac:dyDescent="0.2">
      <c r="D24">
        <v>22</v>
      </c>
      <c r="I24">
        <v>5.691408277880023E-2</v>
      </c>
      <c r="J24">
        <v>3.9360416762880008E-3</v>
      </c>
      <c r="K24">
        <v>5.7253522016140451E-2</v>
      </c>
      <c r="L24">
        <v>3.9360416762880008E-3</v>
      </c>
      <c r="M24">
        <v>7.6882475152201951E-2</v>
      </c>
      <c r="N24">
        <v>9.8258376177311028E-3</v>
      </c>
      <c r="O24">
        <v>4.8396144414554622E-2</v>
      </c>
      <c r="P24">
        <v>1.541704148378866E-2</v>
      </c>
      <c r="Q24">
        <v>7.995012204445702E-2</v>
      </c>
      <c r="R24">
        <v>1.541704148378866E-2</v>
      </c>
      <c r="S24">
        <v>5.4605820662033934E-2</v>
      </c>
      <c r="T24">
        <v>4.107171785639999E-3</v>
      </c>
      <c r="V24" s="98" t="s">
        <v>80</v>
      </c>
      <c r="W24" t="s">
        <v>101</v>
      </c>
      <c r="X24">
        <f>INDEX(ImperialECStone[Inches], MATCH(MetricECStone[[#This Row],[Chamber]], ImperialECStone[Chamber], 0)) * 25.4</f>
        <v>573.024</v>
      </c>
      <c r="Y24">
        <f t="shared" si="5"/>
        <v>0.57302399999999998</v>
      </c>
      <c r="AE24" s="125">
        <f t="shared" si="3"/>
        <v>-9</v>
      </c>
      <c r="AF24" s="15">
        <f t="shared" si="1"/>
        <v>10</v>
      </c>
      <c r="AG24" s="15">
        <f t="shared" si="2"/>
        <v>10</v>
      </c>
    </row>
    <row r="25" spans="4:33" x14ac:dyDescent="0.2">
      <c r="D25">
        <v>23</v>
      </c>
      <c r="I25">
        <v>5.7907155704479692E-2</v>
      </c>
      <c r="J25">
        <v>4.1059427558400013E-3</v>
      </c>
      <c r="K25">
        <v>5.8226940110434666E-2</v>
      </c>
      <c r="L25">
        <v>4.1059427558400013E-3</v>
      </c>
      <c r="M25">
        <v>7.847343848223115E-2</v>
      </c>
      <c r="N25">
        <v>1.0193635148229709E-2</v>
      </c>
      <c r="O25">
        <v>4.9556497239133766E-2</v>
      </c>
      <c r="P25">
        <v>1.6048999292085621E-2</v>
      </c>
      <c r="Q25">
        <v>8.1874839869744087E-2</v>
      </c>
      <c r="R25">
        <v>1.6048999292085621E-2</v>
      </c>
      <c r="S25">
        <v>5.5585508317140854E-2</v>
      </c>
      <c r="T25">
        <v>4.2207341391599998E-3</v>
      </c>
      <c r="AE25" s="125">
        <f t="shared" si="3"/>
        <v>-10</v>
      </c>
      <c r="AF25" s="15">
        <f t="shared" si="1"/>
        <v>11</v>
      </c>
      <c r="AG25" s="15">
        <f t="shared" si="2"/>
        <v>11</v>
      </c>
    </row>
    <row r="26" spans="4:33" x14ac:dyDescent="0.2">
      <c r="D26">
        <v>24</v>
      </c>
      <c r="I26">
        <v>5.8755827184965026E-2</v>
      </c>
      <c r="J26">
        <v>4.2758438353919974E-3</v>
      </c>
      <c r="K26">
        <v>5.913841823587708E-2</v>
      </c>
      <c r="L26">
        <v>4.2758438353919974E-3</v>
      </c>
      <c r="M26">
        <v>7.9984473170040912E-2</v>
      </c>
      <c r="N26">
        <v>1.0542065380863554E-2</v>
      </c>
      <c r="O26">
        <v>5.0666749823021218E-2</v>
      </c>
      <c r="P26">
        <v>1.6664857426022906E-2</v>
      </c>
      <c r="Q26">
        <v>8.3713956958799129E-2</v>
      </c>
      <c r="R26">
        <v>1.6664857426022906E-2</v>
      </c>
      <c r="S26">
        <v>5.6511708646280738E-2</v>
      </c>
      <c r="T26">
        <v>4.4175755519280007E-3</v>
      </c>
      <c r="AE26" s="125">
        <f t="shared" si="3"/>
        <v>-11</v>
      </c>
      <c r="AF26" s="15">
        <f t="shared" si="1"/>
        <v>12</v>
      </c>
      <c r="AG26" s="15">
        <f t="shared" si="2"/>
        <v>12</v>
      </c>
    </row>
    <row r="27" spans="4:33" x14ac:dyDescent="0.2">
      <c r="D27">
        <v>25</v>
      </c>
      <c r="I27">
        <v>5.9603934955768378E-2</v>
      </c>
      <c r="J27">
        <v>4.1908932956160007E-3</v>
      </c>
      <c r="K27">
        <v>5.9989871725895552E-2</v>
      </c>
      <c r="L27">
        <v>4.1908932956160007E-3</v>
      </c>
      <c r="M27">
        <v>8.1423126150361402E-2</v>
      </c>
      <c r="N27">
        <v>1.0882362439431232E-2</v>
      </c>
      <c r="O27">
        <v>5.1739898626646082E-2</v>
      </c>
      <c r="P27">
        <v>1.7273737505309375E-2</v>
      </c>
      <c r="Q27">
        <v>8.5481266883760329E-2</v>
      </c>
      <c r="R27">
        <v>1.7273737505309375E-2</v>
      </c>
      <c r="S27">
        <v>5.7387848302063477E-2</v>
      </c>
      <c r="T27">
        <v>4.633344023616E-3</v>
      </c>
      <c r="AE27" s="125">
        <f t="shared" si="3"/>
        <v>-12</v>
      </c>
      <c r="AF27" s="15">
        <f t="shared" si="1"/>
        <v>13</v>
      </c>
      <c r="AG27" s="15">
        <f t="shared" si="2"/>
        <v>13</v>
      </c>
    </row>
    <row r="28" spans="4:33" x14ac:dyDescent="0.2">
      <c r="D28">
        <v>26</v>
      </c>
      <c r="I28">
        <v>6.036517899748832E-2</v>
      </c>
      <c r="J28">
        <v>4.5590123013120008E-3</v>
      </c>
      <c r="K28">
        <v>6.0784401812261045E-2</v>
      </c>
      <c r="L28">
        <v>4.5590123013120008E-3</v>
      </c>
      <c r="M28">
        <v>8.280154523573538E-2</v>
      </c>
      <c r="N28">
        <v>1.1214890354533401E-2</v>
      </c>
      <c r="O28">
        <v>5.2766241257255798E-2</v>
      </c>
      <c r="P28">
        <v>1.7899899476143313E-2</v>
      </c>
      <c r="Q28">
        <v>8.7176479682854413E-2</v>
      </c>
      <c r="R28">
        <v>1.7899899476143313E-2</v>
      </c>
      <c r="S28">
        <v>5.8216216722250497E-2</v>
      </c>
      <c r="T28">
        <v>4.7469063771359999E-3</v>
      </c>
      <c r="AE28" s="125">
        <f t="shared" si="3"/>
        <v>-13</v>
      </c>
      <c r="AF28" s="15">
        <f t="shared" si="1"/>
        <v>14</v>
      </c>
      <c r="AG28" s="15">
        <f t="shared" si="2"/>
        <v>14</v>
      </c>
    </row>
    <row r="29" spans="4:33" x14ac:dyDescent="0.2">
      <c r="D29">
        <v>27</v>
      </c>
      <c r="I29">
        <v>6.0989782434281943E-2</v>
      </c>
      <c r="J29">
        <v>4.7005965342720004E-3</v>
      </c>
      <c r="K29">
        <v>6.1522989098116973E-2</v>
      </c>
      <c r="L29">
        <v>4.7005965342720004E-3</v>
      </c>
      <c r="M29">
        <v>8.4097075180518219E-2</v>
      </c>
      <c r="N29">
        <v>1.1541253325108719E-2</v>
      </c>
      <c r="O29">
        <v>5.3754048138185268E-2</v>
      </c>
      <c r="P29">
        <v>1.8210077870593196E-2</v>
      </c>
      <c r="Q29">
        <v>8.8808730284581333E-2</v>
      </c>
      <c r="R29">
        <v>1.8210077870593196E-2</v>
      </c>
      <c r="S29">
        <v>5.8998996872296712E-2</v>
      </c>
      <c r="T29">
        <v>4.8491124953039992E-3</v>
      </c>
      <c r="V29" t="s">
        <v>1</v>
      </c>
      <c r="W29" t="s">
        <v>123</v>
      </c>
      <c r="X29" t="s">
        <v>124</v>
      </c>
      <c r="AE29" s="125">
        <f t="shared" si="3"/>
        <v>-14</v>
      </c>
      <c r="AF29" s="15">
        <f t="shared" si="1"/>
        <v>15</v>
      </c>
      <c r="AG29" s="15">
        <f t="shared" si="2"/>
        <v>15</v>
      </c>
    </row>
    <row r="30" spans="4:33" x14ac:dyDescent="0.2">
      <c r="D30">
        <v>28</v>
      </c>
      <c r="I30">
        <v>6.1646897499226548E-2</v>
      </c>
      <c r="J30">
        <v>4.8138639206400016E-3</v>
      </c>
      <c r="K30">
        <v>6.2207559960356797E-2</v>
      </c>
      <c r="L30">
        <v>4.8138639206400016E-3</v>
      </c>
      <c r="M30">
        <v>8.5302282599461876E-2</v>
      </c>
      <c r="N30">
        <v>1.1856011668127839E-2</v>
      </c>
      <c r="O30">
        <v>5.4703031289820118E-2</v>
      </c>
      <c r="P30">
        <v>1.917885742602295E-2</v>
      </c>
      <c r="Q30">
        <v>9.0379990655528902E-2</v>
      </c>
      <c r="R30">
        <v>1.917885742602295E-2</v>
      </c>
      <c r="S30">
        <v>5.9739067185701794E-2</v>
      </c>
      <c r="T30">
        <v>4.9702456723919996E-3</v>
      </c>
      <c r="V30" t="s">
        <v>100</v>
      </c>
      <c r="W30">
        <v>100</v>
      </c>
      <c r="X30" t="b">
        <f>MetricBaseStoneCheck[[#This Row],[Minimum Base stone depth]]&gt;'Cumulative Volumes Metric'!$F$11</f>
        <v>0</v>
      </c>
      <c r="Z30" t="str">
        <f>IF(
    INDEX(MetricBaseStoneCheck[Check], MATCH('Cumulative Volumes Metric'!F4, MetricBaseStoneCheck[Chamber], 0)),
    "StormTech requires a minimum of 229 mm of stone below the chambers. This table is for modeling purposes only. Please see the engineer's drawings for the actual amount of stone under the chambers.",
    ""
)</f>
        <v/>
      </c>
      <c r="AE30" s="125">
        <f t="shared" si="3"/>
        <v>-15</v>
      </c>
      <c r="AF30" s="15">
        <f t="shared" si="1"/>
        <v>16</v>
      </c>
      <c r="AG30" s="15">
        <f t="shared" si="2"/>
        <v>16</v>
      </c>
    </row>
    <row r="31" spans="4:33" x14ac:dyDescent="0.2">
      <c r="D31">
        <v>29</v>
      </c>
      <c r="I31">
        <v>6.2249935763315362E-2</v>
      </c>
      <c r="J31">
        <v>4.9554481536000002E-3</v>
      </c>
      <c r="K31">
        <v>6.2840021237434512E-2</v>
      </c>
      <c r="L31">
        <v>4.9554481536000002E-3</v>
      </c>
      <c r="M31">
        <v>8.6457828118363361E-2</v>
      </c>
      <c r="N31">
        <v>1.216638760986357E-2</v>
      </c>
      <c r="O31">
        <v>5.5616077587427468E-2</v>
      </c>
      <c r="P31">
        <v>1.9816775307942812E-2</v>
      </c>
      <c r="Q31">
        <v>9.1887799235452552E-2</v>
      </c>
      <c r="R31">
        <v>1.9816775307942812E-2</v>
      </c>
      <c r="S31">
        <v>6.0437660305950665E-2</v>
      </c>
      <c r="T31">
        <v>4.9058936720639996E-3</v>
      </c>
      <c r="V31" t="s">
        <v>11</v>
      </c>
      <c r="W31">
        <v>152</v>
      </c>
      <c r="X31" t="b">
        <f>MetricBaseStoneCheck[[#This Row],[Minimum Base stone depth]]&gt;'Cumulative Volumes Metric'!$F$11</f>
        <v>0</v>
      </c>
      <c r="AE31" s="125">
        <f t="shared" si="3"/>
        <v>-16</v>
      </c>
      <c r="AF31" s="15">
        <f t="shared" si="1"/>
        <v>17</v>
      </c>
      <c r="AG31" s="15">
        <f t="shared" si="2"/>
        <v>17</v>
      </c>
    </row>
    <row r="32" spans="4:33" x14ac:dyDescent="0.2">
      <c r="D32">
        <v>30</v>
      </c>
      <c r="I32">
        <v>6.2503932858244057E-2</v>
      </c>
      <c r="J32">
        <v>3.2847542046720002E-3</v>
      </c>
      <c r="K32">
        <v>6.3504541129831532E-2</v>
      </c>
      <c r="L32">
        <v>3.2847542046720002E-3</v>
      </c>
      <c r="M32">
        <v>8.7619271980744665E-2</v>
      </c>
      <c r="N32">
        <v>1.2470824913238669E-2</v>
      </c>
      <c r="O32">
        <v>5.6494911510689187E-2</v>
      </c>
      <c r="P32">
        <v>2.0455900891972287E-2</v>
      </c>
      <c r="Q32">
        <v>9.3340449100948505E-2</v>
      </c>
      <c r="R32">
        <v>2.0455900891972287E-2</v>
      </c>
      <c r="S32">
        <v>6.1096749935108524E-2</v>
      </c>
      <c r="T32">
        <v>5.1405892026719999E-3</v>
      </c>
      <c r="V32" t="s">
        <v>12</v>
      </c>
      <c r="W32">
        <v>152</v>
      </c>
      <c r="X32" t="b">
        <f>MetricBaseStoneCheck[[#This Row],[Minimum Base stone depth]]&gt;'Cumulative Volumes Metric'!$F$11</f>
        <v>0</v>
      </c>
      <c r="AE32" s="125">
        <f t="shared" si="3"/>
        <v>-17</v>
      </c>
      <c r="AF32" s="15">
        <f t="shared" si="1"/>
        <v>18</v>
      </c>
      <c r="AG32" s="15">
        <f t="shared" si="2"/>
        <v>18</v>
      </c>
    </row>
    <row r="33" spans="4:33" x14ac:dyDescent="0.2">
      <c r="D33">
        <v>31</v>
      </c>
      <c r="M33">
        <v>8.8646657510972698E-2</v>
      </c>
      <c r="N33">
        <v>1.2765628951773836E-2</v>
      </c>
      <c r="O33">
        <v>5.7341275945065877E-2</v>
      </c>
      <c r="P33">
        <v>2.1059807730426115E-2</v>
      </c>
      <c r="Q33">
        <v>9.4736398697437357E-2</v>
      </c>
      <c r="R33">
        <v>2.1059807730426115E-2</v>
      </c>
      <c r="S33">
        <v>6.1717965722441558E-2</v>
      </c>
      <c r="T33">
        <v>5.1973703794319995E-3</v>
      </c>
      <c r="V33" t="s">
        <v>13</v>
      </c>
      <c r="W33">
        <v>229</v>
      </c>
      <c r="X33" t="b">
        <f>MetricBaseStoneCheck[[#This Row],[Minimum Base stone depth]]&gt;'Cumulative Volumes Metric'!$F$11</f>
        <v>0</v>
      </c>
      <c r="AE33" s="125">
        <f t="shared" si="3"/>
        <v>-18</v>
      </c>
      <c r="AF33" s="15">
        <f t="shared" si="1"/>
        <v>19</v>
      </c>
      <c r="AG33" s="15">
        <f t="shared" si="2"/>
        <v>19</v>
      </c>
    </row>
    <row r="34" spans="4:33" x14ac:dyDescent="0.2">
      <c r="D34">
        <v>32</v>
      </c>
      <c r="M34">
        <v>8.9640726320260627E-2</v>
      </c>
      <c r="N34">
        <v>1.3050016157545745E-2</v>
      </c>
      <c r="O34">
        <v>5.8156220019821597E-2</v>
      </c>
      <c r="P34">
        <v>2.1647063570720639E-2</v>
      </c>
      <c r="Q34">
        <v>9.6081268016423776E-2</v>
      </c>
      <c r="R34">
        <v>2.1647063570720639E-2</v>
      </c>
      <c r="S34">
        <v>6.2303020286327143E-2</v>
      </c>
      <c r="T34">
        <v>5.2617223797599994E-3</v>
      </c>
      <c r="V34" t="s">
        <v>101</v>
      </c>
      <c r="W34">
        <v>152</v>
      </c>
      <c r="X34" t="b">
        <f>MetricBaseStoneCheck[[#This Row],[Minimum Base stone depth]]&gt;'Cumulative Volumes Metric'!$F$11</f>
        <v>0</v>
      </c>
      <c r="AE34" s="125">
        <f t="shared" si="3"/>
        <v>-19</v>
      </c>
      <c r="AF34" s="15">
        <f t="shared" si="1"/>
        <v>20</v>
      </c>
      <c r="AG34" s="15">
        <f t="shared" si="2"/>
        <v>20</v>
      </c>
    </row>
    <row r="35" spans="4:33" x14ac:dyDescent="0.2">
      <c r="D35">
        <v>33</v>
      </c>
      <c r="M35">
        <v>9.0597571853320055E-2</v>
      </c>
      <c r="N35">
        <v>1.3326789641492899E-2</v>
      </c>
      <c r="O35">
        <v>5.8940914059181837E-2</v>
      </c>
      <c r="P35">
        <v>2.2243212232762297E-2</v>
      </c>
      <c r="Q35">
        <v>9.7376511963754783E-2</v>
      </c>
      <c r="R35">
        <v>2.2243212232762297E-2</v>
      </c>
      <c r="S35">
        <v>6.2942510799123594E-2</v>
      </c>
      <c r="T35">
        <v>3.7437722543760001E-3</v>
      </c>
      <c r="V35" t="s">
        <v>16</v>
      </c>
      <c r="W35">
        <v>229</v>
      </c>
      <c r="X35" t="b">
        <f>MetricBaseStoneCheck[[#This Row],[Minimum Base stone depth]]&gt;'Cumulative Volumes Metric'!$F$11</f>
        <v>0</v>
      </c>
      <c r="AE35" s="125">
        <f t="shared" si="3"/>
        <v>-20</v>
      </c>
      <c r="AF35" s="15">
        <f t="shared" si="1"/>
        <v>21</v>
      </c>
      <c r="AG35" s="15">
        <f t="shared" si="2"/>
        <v>21</v>
      </c>
    </row>
    <row r="36" spans="4:33" x14ac:dyDescent="0.2">
      <c r="D36">
        <v>34</v>
      </c>
      <c r="M36">
        <v>9.1494161970833904E-2</v>
      </c>
      <c r="N36">
        <v>1.3594498118956364E-2</v>
      </c>
      <c r="O36">
        <v>5.9693525980461501E-2</v>
      </c>
      <c r="P36">
        <v>2.2729755911085982E-2</v>
      </c>
      <c r="Q36">
        <v>9.8623255840294188E-2</v>
      </c>
      <c r="R36">
        <v>2.2729755911085982E-2</v>
      </c>
      <c r="V36" t="s">
        <v>20</v>
      </c>
      <c r="W36">
        <v>229</v>
      </c>
      <c r="X36" t="b">
        <f>MetricBaseStoneCheck[[#This Row],[Minimum Base stone depth]]&gt;'Cumulative Volumes Metric'!$F$11</f>
        <v>0</v>
      </c>
      <c r="AE36" s="125">
        <f t="shared" si="3"/>
        <v>-21</v>
      </c>
      <c r="AF36" s="15">
        <f t="shared" si="1"/>
        <v>22</v>
      </c>
      <c r="AG36" s="15">
        <f t="shared" si="2"/>
        <v>22</v>
      </c>
    </row>
    <row r="37" spans="4:33" x14ac:dyDescent="0.2">
      <c r="D37">
        <v>35</v>
      </c>
      <c r="M37">
        <v>9.2351920996743692E-2</v>
      </c>
      <c r="N37">
        <v>1.3852582078748236E-2</v>
      </c>
      <c r="O37">
        <v>6.0423249893812876E-2</v>
      </c>
      <c r="P37">
        <v>2.3218160838170698E-2</v>
      </c>
      <c r="Q37">
        <v>9.9826056349992934E-2</v>
      </c>
      <c r="R37">
        <v>2.3218160838170698E-2</v>
      </c>
      <c r="V37" t="s">
        <v>21</v>
      </c>
      <c r="W37">
        <v>229</v>
      </c>
      <c r="X37" t="b">
        <f>MetricBaseStoneCheck[[#This Row],[Minimum Base stone depth]]&gt;'Cumulative Volumes Metric'!$F$11</f>
        <v>0</v>
      </c>
      <c r="AE37" s="125">
        <f t="shared" si="3"/>
        <v>-22</v>
      </c>
      <c r="AF37" s="15">
        <f t="shared" si="1"/>
        <v>23</v>
      </c>
      <c r="AG37" s="15">
        <f t="shared" si="2"/>
        <v>23</v>
      </c>
    </row>
    <row r="38" spans="4:33" x14ac:dyDescent="0.2">
      <c r="D38">
        <v>36</v>
      </c>
      <c r="M38">
        <v>9.3168918873000106E-2</v>
      </c>
      <c r="N38">
        <v>1.4100542126531728E-2</v>
      </c>
      <c r="O38">
        <v>6.1126349992920902E-2</v>
      </c>
      <c r="P38">
        <v>2.3743714285714271E-2</v>
      </c>
      <c r="Q38">
        <v>0.10098182755203165</v>
      </c>
      <c r="R38">
        <v>2.3743714285714271E-2</v>
      </c>
      <c r="AE38" s="125">
        <f t="shared" si="3"/>
        <v>-23</v>
      </c>
      <c r="AF38" s="15">
        <f t="shared" si="1"/>
        <v>24</v>
      </c>
      <c r="AG38" s="15">
        <f t="shared" si="2"/>
        <v>24</v>
      </c>
    </row>
    <row r="39" spans="4:33" x14ac:dyDescent="0.2">
      <c r="D39">
        <v>37</v>
      </c>
      <c r="M39">
        <v>9.3953378451083092E-2</v>
      </c>
      <c r="N39">
        <v>1.4339966612482441E-2</v>
      </c>
      <c r="O39">
        <v>6.1802097409032968E-2</v>
      </c>
      <c r="P39">
        <v>2.4104535466515645E-2</v>
      </c>
      <c r="Q39">
        <v>0.10209779442163418</v>
      </c>
      <c r="R39">
        <v>2.4104535466515645E-2</v>
      </c>
      <c r="AE39" s="125">
        <f t="shared" si="3"/>
        <v>-24</v>
      </c>
      <c r="AF39" s="15">
        <f t="shared" si="1"/>
        <v>25</v>
      </c>
      <c r="AG39" s="15">
        <f t="shared" si="2"/>
        <v>25</v>
      </c>
    </row>
    <row r="40" spans="4:33" x14ac:dyDescent="0.2">
      <c r="D40">
        <v>38</v>
      </c>
      <c r="M40">
        <v>9.4694127990938695E-2</v>
      </c>
      <c r="N40">
        <v>1.4568804616914564E-2</v>
      </c>
      <c r="O40">
        <v>6.2452919439331622E-2</v>
      </c>
      <c r="P40">
        <v>2.4338602010477144E-2</v>
      </c>
      <c r="Q40">
        <v>0.10317083703808551</v>
      </c>
      <c r="R40">
        <v>2.4338602010477144E-2</v>
      </c>
      <c r="AE40" s="125">
        <f t="shared" si="3"/>
        <v>-25</v>
      </c>
      <c r="AF40" s="15">
        <f t="shared" si="1"/>
        <v>26</v>
      </c>
      <c r="AG40" s="15">
        <f t="shared" si="2"/>
        <v>26</v>
      </c>
    </row>
    <row r="41" spans="4:33" x14ac:dyDescent="0.2">
      <c r="D41">
        <v>39</v>
      </c>
      <c r="M41">
        <v>9.5387714285714312E-2</v>
      </c>
      <c r="N41">
        <v>1.4787077438221731E-2</v>
      </c>
      <c r="O41">
        <v>6.3079482656095157E-2</v>
      </c>
      <c r="P41">
        <v>2.5186301288404416E-2</v>
      </c>
      <c r="Q41">
        <v>0.10420340365283906</v>
      </c>
      <c r="R41">
        <v>2.5186301288404416E-2</v>
      </c>
      <c r="AE41" s="125">
        <f t="shared" si="3"/>
        <v>-26</v>
      </c>
      <c r="AF41" s="15">
        <f t="shared" si="1"/>
        <v>27</v>
      </c>
      <c r="AG41" s="15">
        <f t="shared" si="2"/>
        <v>27</v>
      </c>
    </row>
    <row r="42" spans="4:33" x14ac:dyDescent="0.2">
      <c r="D42">
        <v>40</v>
      </c>
      <c r="M42">
        <v>9.6064038510547928E-2</v>
      </c>
      <c r="N42">
        <v>1.4995722938057078E-2</v>
      </c>
      <c r="O42">
        <v>6.3680280334135655E-2</v>
      </c>
      <c r="P42">
        <v>2.5605019396856839E-2</v>
      </c>
      <c r="Q42">
        <v>0.10519599575251305</v>
      </c>
      <c r="R42">
        <v>2.5605019396856839E-2</v>
      </c>
      <c r="V42" t="s">
        <v>1</v>
      </c>
      <c r="W42" s="98" t="s">
        <v>125</v>
      </c>
      <c r="X42" t="s">
        <v>124</v>
      </c>
      <c r="AE42" s="125">
        <f t="shared" si="3"/>
        <v>-27</v>
      </c>
      <c r="AF42" s="15">
        <f t="shared" si="1"/>
        <v>28</v>
      </c>
      <c r="AG42" s="15">
        <f t="shared" si="2"/>
        <v>28</v>
      </c>
    </row>
    <row r="43" spans="4:33" x14ac:dyDescent="0.2">
      <c r="D43">
        <v>41</v>
      </c>
      <c r="M43">
        <v>9.6688107036669954E-2</v>
      </c>
      <c r="N43">
        <v>1.5193583378332773E-2</v>
      </c>
      <c r="O43">
        <v>6.4260176978620964E-2</v>
      </c>
      <c r="P43">
        <v>2.5973384114398999E-2</v>
      </c>
      <c r="Q43">
        <v>0.10615008806456175</v>
      </c>
      <c r="R43">
        <v>2.5973384114398999E-2</v>
      </c>
      <c r="V43" t="s">
        <v>100</v>
      </c>
      <c r="W43">
        <v>152</v>
      </c>
      <c r="X43" t="b">
        <f>W43&gt;'Cumulative Volumes Metric'!$F$10</f>
        <v>0</v>
      </c>
      <c r="AE43" s="125">
        <f t="shared" si="3"/>
        <v>-28</v>
      </c>
      <c r="AF43" s="15">
        <f t="shared" si="1"/>
        <v>29</v>
      </c>
      <c r="AG43" s="15">
        <f t="shared" si="2"/>
        <v>29</v>
      </c>
    </row>
    <row r="44" spans="4:33" x14ac:dyDescent="0.2">
      <c r="D44">
        <v>42</v>
      </c>
      <c r="M44">
        <v>9.7324605408466686E-2</v>
      </c>
      <c r="N44">
        <v>1.5380681054258181E-2</v>
      </c>
      <c r="O44">
        <v>6.4816289395441207E-2</v>
      </c>
      <c r="P44">
        <v>2.6045918731417268E-2</v>
      </c>
      <c r="Q44">
        <v>0.1070649432252584</v>
      </c>
      <c r="R44">
        <v>2.6045918731417268E-2</v>
      </c>
      <c r="V44" t="s">
        <v>11</v>
      </c>
      <c r="W44">
        <v>152</v>
      </c>
      <c r="X44" t="b">
        <f>W44&gt;'Cumulative Volumes Metric'!$F$10</f>
        <v>0</v>
      </c>
      <c r="AE44" s="125">
        <f t="shared" si="3"/>
        <v>-29</v>
      </c>
      <c r="AF44" s="15">
        <f t="shared" si="1"/>
        <v>30</v>
      </c>
      <c r="AG44" s="15">
        <f t="shared" si="2"/>
        <v>30</v>
      </c>
    </row>
    <row r="45" spans="4:33" x14ac:dyDescent="0.2">
      <c r="D45">
        <v>43</v>
      </c>
      <c r="M45">
        <v>9.79105988956534E-2</v>
      </c>
      <c r="N45">
        <v>1.5556870426318167E-2</v>
      </c>
      <c r="O45">
        <v>6.5350483930341124E-2</v>
      </c>
      <c r="P45">
        <v>2.6714145547217814E-2</v>
      </c>
      <c r="Q45">
        <v>0.10794410845249905</v>
      </c>
      <c r="R45">
        <v>2.6714145547217814E-2</v>
      </c>
      <c r="V45" t="s">
        <v>12</v>
      </c>
      <c r="W45">
        <v>152</v>
      </c>
      <c r="X45" t="b">
        <f>W45&gt;'Cumulative Volumes Metric'!$F$10</f>
        <v>0</v>
      </c>
      <c r="AE45" s="125">
        <f t="shared" si="3"/>
        <v>-30</v>
      </c>
      <c r="AF45" s="15">
        <f t="shared" si="1"/>
        <v>31</v>
      </c>
      <c r="AG45" s="15">
        <f t="shared" si="2"/>
        <v>31</v>
      </c>
    </row>
    <row r="46" spans="4:33" x14ac:dyDescent="0.2">
      <c r="D46">
        <v>44</v>
      </c>
      <c r="M46">
        <v>9.8504713011468237E-2</v>
      </c>
      <c r="N46">
        <v>1.5722048560306207E-2</v>
      </c>
      <c r="O46">
        <v>6.5862872150644153E-2</v>
      </c>
      <c r="P46">
        <v>2.7080302704233328E-2</v>
      </c>
      <c r="Q46">
        <v>0.10878360356788869</v>
      </c>
      <c r="R46">
        <v>2.7080302704233328E-2</v>
      </c>
      <c r="V46" t="s">
        <v>13</v>
      </c>
      <c r="W46">
        <v>152</v>
      </c>
      <c r="X46" t="b">
        <f>W46&gt;'Cumulative Volumes Metric'!$F$10</f>
        <v>0</v>
      </c>
      <c r="AE46" s="125">
        <f t="shared" si="3"/>
        <v>-31</v>
      </c>
      <c r="AF46" s="15">
        <f t="shared" si="1"/>
        <v>32</v>
      </c>
      <c r="AG46" s="15">
        <f t="shared" si="2"/>
        <v>32</v>
      </c>
    </row>
    <row r="47" spans="4:33" x14ac:dyDescent="0.2">
      <c r="D47">
        <v>45</v>
      </c>
      <c r="M47">
        <v>9.9252230213790177E-2</v>
      </c>
      <c r="N47">
        <v>1.6846177395842023E-2</v>
      </c>
      <c r="O47">
        <v>6.6354101090188425E-2</v>
      </c>
      <c r="P47">
        <v>2.7428602576808753E-2</v>
      </c>
      <c r="Q47">
        <v>0.1095897460002833</v>
      </c>
      <c r="R47">
        <v>2.7428602576808753E-2</v>
      </c>
      <c r="V47" t="s">
        <v>101</v>
      </c>
      <c r="W47">
        <v>152</v>
      </c>
      <c r="X47" t="b">
        <f>W47&gt;'Cumulative Volumes Metric'!$F$10</f>
        <v>0</v>
      </c>
      <c r="AE47" s="125">
        <f t="shared" si="3"/>
        <v>-32</v>
      </c>
      <c r="AF47" s="15">
        <f t="shared" si="1"/>
        <v>33</v>
      </c>
      <c r="AG47" s="15">
        <f t="shared" si="2"/>
        <v>33</v>
      </c>
    </row>
    <row r="48" spans="4:33" x14ac:dyDescent="0.2">
      <c r="D48">
        <v>46</v>
      </c>
      <c r="O48">
        <v>6.682452498938124E-2</v>
      </c>
      <c r="P48">
        <v>2.7789317853603321E-2</v>
      </c>
      <c r="Q48">
        <v>0.11036108112699988</v>
      </c>
      <c r="R48">
        <v>2.7789317853603321E-2</v>
      </c>
      <c r="V48" t="s">
        <v>16</v>
      </c>
      <c r="W48">
        <v>305</v>
      </c>
      <c r="X48" t="b">
        <f>W48&gt;'Cumulative Volumes Metric'!$F$10</f>
        <v>0</v>
      </c>
      <c r="AE48" s="125">
        <f t="shared" si="3"/>
        <v>-33</v>
      </c>
      <c r="AF48" s="15">
        <f t="shared" si="1"/>
        <v>34</v>
      </c>
      <c r="AG48" s="15">
        <f t="shared" si="2"/>
        <v>34</v>
      </c>
    </row>
    <row r="49" spans="4:33" x14ac:dyDescent="0.2">
      <c r="D49">
        <v>47</v>
      </c>
      <c r="O49">
        <v>6.7274413988390278E-2</v>
      </c>
      <c r="P49">
        <v>2.749946453348432E-2</v>
      </c>
      <c r="Q49">
        <v>0.11109868611071794</v>
      </c>
      <c r="R49">
        <v>2.749946453348432E-2</v>
      </c>
      <c r="V49" t="s">
        <v>20</v>
      </c>
      <c r="W49">
        <v>305</v>
      </c>
      <c r="X49" t="b">
        <f>W49&gt;'Cumulative Volumes Metric'!$F$10</f>
        <v>0</v>
      </c>
      <c r="AE49" s="125">
        <f t="shared" si="3"/>
        <v>-34</v>
      </c>
      <c r="AF49" s="15">
        <f t="shared" si="1"/>
        <v>35</v>
      </c>
      <c r="AG49" s="15">
        <f t="shared" si="2"/>
        <v>35</v>
      </c>
    </row>
    <row r="50" spans="4:33" x14ac:dyDescent="0.2">
      <c r="D50">
        <v>48</v>
      </c>
      <c r="O50">
        <v>6.770432082684405E-2</v>
      </c>
      <c r="P50">
        <v>2.8408496389636172E-2</v>
      </c>
      <c r="Q50">
        <v>0.11180166359903726</v>
      </c>
      <c r="R50">
        <v>2.8408496389636172E-2</v>
      </c>
      <c r="V50" t="s">
        <v>21</v>
      </c>
      <c r="W50">
        <v>305</v>
      </c>
      <c r="X50" t="b">
        <f>W50&gt;'Cumulative Volumes Metric'!$F$10</f>
        <v>0</v>
      </c>
      <c r="AE50" s="125">
        <f t="shared" si="3"/>
        <v>-35</v>
      </c>
      <c r="AF50" s="15">
        <f t="shared" si="1"/>
        <v>36</v>
      </c>
      <c r="AG50" s="15">
        <f t="shared" si="2"/>
        <v>36</v>
      </c>
    </row>
    <row r="51" spans="4:33" x14ac:dyDescent="0.2">
      <c r="D51">
        <v>49</v>
      </c>
      <c r="O51">
        <v>6.8114466090896192E-2</v>
      </c>
      <c r="P51">
        <v>2.8631585162112387E-2</v>
      </c>
      <c r="Q51">
        <v>0.11247198046156016</v>
      </c>
      <c r="R51">
        <v>2.8631585162112387E-2</v>
      </c>
      <c r="AE51" s="125">
        <f t="shared" si="3"/>
        <v>-36</v>
      </c>
      <c r="AF51" s="15">
        <f t="shared" si="1"/>
        <v>37</v>
      </c>
      <c r="AG51" s="15">
        <f t="shared" si="2"/>
        <v>37</v>
      </c>
    </row>
    <row r="52" spans="4:33" x14ac:dyDescent="0.2">
      <c r="D52">
        <v>50</v>
      </c>
      <c r="O52">
        <v>6.8505155316437791E-2</v>
      </c>
      <c r="P52">
        <v>2.889305847373641E-2</v>
      </c>
      <c r="Q52">
        <v>0.11311129123601876</v>
      </c>
      <c r="R52">
        <v>2.889305847373641E-2</v>
      </c>
      <c r="AE52" s="125">
        <f t="shared" si="3"/>
        <v>-37</v>
      </c>
      <c r="AF52" s="15">
        <f t="shared" si="1"/>
        <v>38</v>
      </c>
      <c r="AG52" s="15">
        <f t="shared" si="2"/>
        <v>38</v>
      </c>
    </row>
    <row r="53" spans="4:33" x14ac:dyDescent="0.2">
      <c r="D53">
        <v>51</v>
      </c>
      <c r="O53">
        <v>6.8876737363726528E-2</v>
      </c>
      <c r="P53">
        <v>2.9175378451083075E-2</v>
      </c>
      <c r="Q53">
        <v>0.11371738807871999</v>
      </c>
      <c r="R53">
        <v>2.9175378451083075E-2</v>
      </c>
      <c r="AE53" s="125">
        <f t="shared" si="3"/>
        <v>-38</v>
      </c>
      <c r="AF53" s="15">
        <f t="shared" si="1"/>
        <v>39</v>
      </c>
      <c r="AG53" s="15">
        <f t="shared" si="2"/>
        <v>39</v>
      </c>
    </row>
    <row r="54" spans="4:33" x14ac:dyDescent="0.2">
      <c r="D54">
        <v>52</v>
      </c>
      <c r="O54">
        <v>6.9229444145547228E-2</v>
      </c>
      <c r="P54">
        <v>2.9412688659209974E-2</v>
      </c>
      <c r="Q54">
        <v>0.11429154806739351</v>
      </c>
      <c r="R54">
        <v>2.9412688659209974E-2</v>
      </c>
      <c r="AE54" s="125">
        <f t="shared" si="3"/>
        <v>-39</v>
      </c>
      <c r="AF54" s="15">
        <f t="shared" si="1"/>
        <v>40</v>
      </c>
      <c r="AG54" s="15">
        <f t="shared" si="2"/>
        <v>40</v>
      </c>
    </row>
    <row r="55" spans="4:33" x14ac:dyDescent="0.2">
      <c r="D55">
        <v>53</v>
      </c>
      <c r="O55">
        <v>6.9563507574684977E-2</v>
      </c>
      <c r="P55">
        <v>2.962952569729577E-2</v>
      </c>
      <c r="Q55">
        <v>0.11483580857992352</v>
      </c>
      <c r="R55">
        <v>2.962952569729577E-2</v>
      </c>
      <c r="AE55" s="125">
        <f t="shared" si="3"/>
        <v>-40</v>
      </c>
      <c r="AF55" s="15">
        <f t="shared" si="1"/>
        <v>41</v>
      </c>
      <c r="AG55" s="15">
        <f t="shared" si="2"/>
        <v>41</v>
      </c>
    </row>
    <row r="56" spans="4:33" x14ac:dyDescent="0.2">
      <c r="D56">
        <v>54</v>
      </c>
      <c r="O56">
        <v>6.9879157864929889E-2</v>
      </c>
      <c r="P56">
        <v>2.9846367266034263E-2</v>
      </c>
      <c r="Q56">
        <v>0.11534905054509419</v>
      </c>
      <c r="R56">
        <v>2.9846367266034263E-2</v>
      </c>
      <c r="AE56" s="125">
        <f t="shared" si="3"/>
        <v>-41</v>
      </c>
      <c r="AF56" s="15">
        <f t="shared" si="1"/>
        <v>42</v>
      </c>
      <c r="AG56" s="15">
        <f t="shared" si="2"/>
        <v>42</v>
      </c>
    </row>
    <row r="57" spans="4:33" x14ac:dyDescent="0.2">
      <c r="D57">
        <v>55</v>
      </c>
      <c r="O57">
        <v>7.0176467223559413E-2</v>
      </c>
      <c r="P57">
        <v>2.9745055642078456E-2</v>
      </c>
      <c r="Q57">
        <v>0.11582914625513242</v>
      </c>
      <c r="R57">
        <v>2.9745055642078456E-2</v>
      </c>
      <c r="AE57" s="125">
        <f t="shared" si="3"/>
        <v>-42</v>
      </c>
      <c r="AF57" s="15">
        <f t="shared" si="1"/>
        <v>43</v>
      </c>
      <c r="AG57" s="15">
        <f t="shared" si="2"/>
        <v>43</v>
      </c>
    </row>
    <row r="58" spans="4:33" x14ac:dyDescent="0.2">
      <c r="D58">
        <v>56</v>
      </c>
      <c r="O58">
        <v>7.0458831374769909E-2</v>
      </c>
      <c r="P58">
        <v>2.9920840436075315E-2</v>
      </c>
      <c r="Q58">
        <v>0.11628752003397989</v>
      </c>
      <c r="R58">
        <v>2.9920840436075315E-2</v>
      </c>
      <c r="AE58" s="125">
        <f t="shared" si="3"/>
        <v>-43</v>
      </c>
      <c r="AF58" s="15">
        <f t="shared" si="1"/>
        <v>44</v>
      </c>
      <c r="AG58" s="15">
        <f t="shared" si="2"/>
        <v>44</v>
      </c>
    </row>
    <row r="59" spans="4:33" x14ac:dyDescent="0.2">
      <c r="D59">
        <v>57</v>
      </c>
      <c r="O59">
        <v>7.0725990938694624E-2</v>
      </c>
      <c r="P59">
        <v>3.0453342489027327E-2</v>
      </c>
      <c r="Q59">
        <v>0.11672375477842277</v>
      </c>
      <c r="R59">
        <v>3.0453342489027327E-2</v>
      </c>
      <c r="AE59" s="125">
        <f t="shared" si="3"/>
        <v>-44</v>
      </c>
      <c r="AF59" s="15">
        <f t="shared" si="1"/>
        <v>45</v>
      </c>
      <c r="AG59" s="15">
        <f t="shared" si="2"/>
        <v>45</v>
      </c>
    </row>
    <row r="60" spans="4:33" x14ac:dyDescent="0.2">
      <c r="D60">
        <v>58</v>
      </c>
      <c r="O60">
        <v>7.097572929350135E-2</v>
      </c>
      <c r="P60">
        <v>3.0660425031856155E-2</v>
      </c>
      <c r="Q60">
        <v>0.11713257907404785</v>
      </c>
      <c r="R60">
        <v>3.0660425031856155E-2</v>
      </c>
      <c r="AE60" s="125">
        <f t="shared" si="3"/>
        <v>-45</v>
      </c>
      <c r="AF60" s="15">
        <f t="shared" si="1"/>
        <v>46</v>
      </c>
      <c r="AG60" s="15">
        <f t="shared" si="2"/>
        <v>46</v>
      </c>
    </row>
    <row r="61" spans="4:33" x14ac:dyDescent="0.2">
      <c r="D61">
        <v>59</v>
      </c>
      <c r="O61">
        <v>7.1208259379866926E-2</v>
      </c>
      <c r="P61">
        <v>3.0811307093303132E-2</v>
      </c>
      <c r="Q61">
        <v>0.11751307971117091</v>
      </c>
      <c r="R61">
        <v>3.0811307093303132E-2</v>
      </c>
      <c r="AE61" s="125">
        <f t="shared" si="3"/>
        <v>-46</v>
      </c>
      <c r="AF61" s="15">
        <f t="shared" si="1"/>
        <v>47</v>
      </c>
      <c r="AG61" s="15">
        <f t="shared" si="2"/>
        <v>47</v>
      </c>
    </row>
    <row r="62" spans="4:33" x14ac:dyDescent="0.2">
      <c r="D62">
        <v>60</v>
      </c>
      <c r="O62">
        <v>7.1554009061305393E-2</v>
      </c>
      <c r="P62">
        <v>3.1328745858700269E-2</v>
      </c>
      <c r="Q62">
        <v>0.11810884836471754</v>
      </c>
      <c r="R62">
        <v>3.1328745858700269E-2</v>
      </c>
      <c r="AE62" s="125">
        <f t="shared" si="3"/>
        <v>-47</v>
      </c>
      <c r="AF62" s="15">
        <f t="shared" si="1"/>
        <v>48</v>
      </c>
      <c r="AG62" s="15">
        <f t="shared" si="2"/>
        <v>48</v>
      </c>
    </row>
    <row r="63" spans="4:33" x14ac:dyDescent="0.2">
      <c r="AE63" s="125">
        <f t="shared" si="3"/>
        <v>-48</v>
      </c>
      <c r="AF63" s="15">
        <f t="shared" si="1"/>
        <v>49</v>
      </c>
      <c r="AG63" s="15">
        <f t="shared" si="2"/>
        <v>49</v>
      </c>
    </row>
    <row r="64" spans="4:33" x14ac:dyDescent="0.2">
      <c r="AE64" s="125">
        <f t="shared" si="3"/>
        <v>-49</v>
      </c>
      <c r="AF64" s="15">
        <f t="shared" si="1"/>
        <v>50</v>
      </c>
      <c r="AG64" s="15">
        <f t="shared" si="2"/>
        <v>50</v>
      </c>
    </row>
    <row r="65" spans="31:33" x14ac:dyDescent="0.2">
      <c r="AE65" s="125">
        <f t="shared" si="3"/>
        <v>-50</v>
      </c>
      <c r="AF65" s="15">
        <f t="shared" si="1"/>
        <v>51</v>
      </c>
      <c r="AG65" s="15">
        <f t="shared" si="2"/>
        <v>51</v>
      </c>
    </row>
    <row r="66" spans="31:33" x14ac:dyDescent="0.2">
      <c r="AE66" s="125">
        <f t="shared" si="3"/>
        <v>-51</v>
      </c>
      <c r="AF66" s="15">
        <f t="shared" si="1"/>
        <v>52</v>
      </c>
      <c r="AG66" s="15">
        <f t="shared" si="2"/>
        <v>52</v>
      </c>
    </row>
    <row r="67" spans="31:33" x14ac:dyDescent="0.2">
      <c r="AE67" s="125">
        <f t="shared" si="3"/>
        <v>-52</v>
      </c>
      <c r="AF67" s="15">
        <f t="shared" si="1"/>
        <v>53</v>
      </c>
      <c r="AG67" s="15">
        <f t="shared" si="2"/>
        <v>53</v>
      </c>
    </row>
    <row r="68" spans="31:33" x14ac:dyDescent="0.2">
      <c r="AE68" s="125">
        <f t="shared" si="3"/>
        <v>-53</v>
      </c>
      <c r="AF68" s="15">
        <f t="shared" ref="AF68:AF131" si="6">IF(AF67&gt;=1,AF67+1,IF(AE68=0,1,-1))</f>
        <v>54</v>
      </c>
      <c r="AG68" s="15">
        <f t="shared" ref="AG68:AG131" si="7">IF(AND(AG67&gt;=1,AG67&lt;$AD$3),AG67+1,IF(AE68=0,1,-1))</f>
        <v>54</v>
      </c>
    </row>
    <row r="69" spans="31:33" x14ac:dyDescent="0.2">
      <c r="AE69" s="125">
        <f t="shared" ref="AE69:AE132" si="8">AE68-1</f>
        <v>-54</v>
      </c>
      <c r="AF69" s="15">
        <f t="shared" si="6"/>
        <v>55</v>
      </c>
      <c r="AG69" s="15">
        <f t="shared" si="7"/>
        <v>55</v>
      </c>
    </row>
    <row r="70" spans="31:33" x14ac:dyDescent="0.2">
      <c r="AE70" s="125">
        <f t="shared" si="8"/>
        <v>-55</v>
      </c>
      <c r="AF70" s="15">
        <f t="shared" si="6"/>
        <v>56</v>
      </c>
      <c r="AG70" s="15">
        <f t="shared" si="7"/>
        <v>56</v>
      </c>
    </row>
    <row r="71" spans="31:33" x14ac:dyDescent="0.2">
      <c r="AE71" s="125">
        <f t="shared" si="8"/>
        <v>-56</v>
      </c>
      <c r="AF71" s="15">
        <f t="shared" si="6"/>
        <v>57</v>
      </c>
      <c r="AG71" s="15">
        <f t="shared" si="7"/>
        <v>57</v>
      </c>
    </row>
    <row r="72" spans="31:33" x14ac:dyDescent="0.2">
      <c r="AE72" s="125">
        <f t="shared" si="8"/>
        <v>-57</v>
      </c>
      <c r="AF72" s="15">
        <f t="shared" si="6"/>
        <v>58</v>
      </c>
      <c r="AG72" s="15">
        <f t="shared" si="7"/>
        <v>58</v>
      </c>
    </row>
    <row r="73" spans="31:33" x14ac:dyDescent="0.2">
      <c r="AE73" s="125">
        <f t="shared" si="8"/>
        <v>-58</v>
      </c>
      <c r="AF73" s="15">
        <f t="shared" si="6"/>
        <v>59</v>
      </c>
      <c r="AG73" s="15">
        <f t="shared" si="7"/>
        <v>59</v>
      </c>
    </row>
    <row r="74" spans="31:33" x14ac:dyDescent="0.2">
      <c r="AE74" s="125">
        <f t="shared" si="8"/>
        <v>-59</v>
      </c>
      <c r="AF74" s="15">
        <f t="shared" si="6"/>
        <v>60</v>
      </c>
      <c r="AG74" s="15">
        <f t="shared" si="7"/>
        <v>60</v>
      </c>
    </row>
    <row r="75" spans="31:33" x14ac:dyDescent="0.2">
      <c r="AE75" s="125">
        <f t="shared" si="8"/>
        <v>-60</v>
      </c>
      <c r="AF75" s="15">
        <f t="shared" si="6"/>
        <v>61</v>
      </c>
      <c r="AG75" s="15">
        <f t="shared" si="7"/>
        <v>-1</v>
      </c>
    </row>
    <row r="76" spans="31:33" x14ac:dyDescent="0.2">
      <c r="AE76" s="125">
        <f t="shared" si="8"/>
        <v>-61</v>
      </c>
      <c r="AF76" s="15">
        <f t="shared" si="6"/>
        <v>62</v>
      </c>
      <c r="AG76" s="15">
        <f t="shared" si="7"/>
        <v>-1</v>
      </c>
    </row>
    <row r="77" spans="31:33" x14ac:dyDescent="0.2">
      <c r="AE77" s="125">
        <f t="shared" si="8"/>
        <v>-62</v>
      </c>
      <c r="AF77" s="15">
        <f t="shared" si="6"/>
        <v>63</v>
      </c>
      <c r="AG77" s="15">
        <f t="shared" si="7"/>
        <v>-1</v>
      </c>
    </row>
    <row r="78" spans="31:33" x14ac:dyDescent="0.2">
      <c r="AE78" s="125">
        <f t="shared" si="8"/>
        <v>-63</v>
      </c>
      <c r="AF78" s="15">
        <f t="shared" si="6"/>
        <v>64</v>
      </c>
      <c r="AG78" s="15">
        <f t="shared" si="7"/>
        <v>-1</v>
      </c>
    </row>
    <row r="79" spans="31:33" x14ac:dyDescent="0.2">
      <c r="AE79" s="125">
        <f t="shared" si="8"/>
        <v>-64</v>
      </c>
      <c r="AF79" s="15">
        <f t="shared" si="6"/>
        <v>65</v>
      </c>
      <c r="AG79" s="15">
        <f t="shared" si="7"/>
        <v>-1</v>
      </c>
    </row>
    <row r="80" spans="31:33" x14ac:dyDescent="0.2">
      <c r="AE80" s="125">
        <f t="shared" si="8"/>
        <v>-65</v>
      </c>
      <c r="AF80" s="15">
        <f t="shared" si="6"/>
        <v>66</v>
      </c>
      <c r="AG80" s="15">
        <f t="shared" si="7"/>
        <v>-1</v>
      </c>
    </row>
    <row r="81" spans="31:33" x14ac:dyDescent="0.2">
      <c r="AE81" s="125">
        <f t="shared" si="8"/>
        <v>-66</v>
      </c>
      <c r="AF81" s="15">
        <f t="shared" si="6"/>
        <v>67</v>
      </c>
      <c r="AG81" s="15">
        <f t="shared" si="7"/>
        <v>-1</v>
      </c>
    </row>
    <row r="82" spans="31:33" x14ac:dyDescent="0.2">
      <c r="AE82" s="125">
        <f t="shared" si="8"/>
        <v>-67</v>
      </c>
      <c r="AF82" s="15">
        <f t="shared" si="6"/>
        <v>68</v>
      </c>
      <c r="AG82" s="15">
        <f t="shared" si="7"/>
        <v>-1</v>
      </c>
    </row>
    <row r="83" spans="31:33" x14ac:dyDescent="0.2">
      <c r="AE83" s="125">
        <f t="shared" si="8"/>
        <v>-68</v>
      </c>
      <c r="AF83" s="15">
        <f t="shared" si="6"/>
        <v>69</v>
      </c>
      <c r="AG83" s="15">
        <f t="shared" si="7"/>
        <v>-1</v>
      </c>
    </row>
    <row r="84" spans="31:33" x14ac:dyDescent="0.2">
      <c r="AE84" s="125">
        <f t="shared" si="8"/>
        <v>-69</v>
      </c>
      <c r="AF84" s="15">
        <f t="shared" si="6"/>
        <v>70</v>
      </c>
      <c r="AG84" s="15">
        <f t="shared" si="7"/>
        <v>-1</v>
      </c>
    </row>
    <row r="85" spans="31:33" x14ac:dyDescent="0.2">
      <c r="AE85" s="125">
        <f t="shared" si="8"/>
        <v>-70</v>
      </c>
      <c r="AF85" s="15">
        <f t="shared" si="6"/>
        <v>71</v>
      </c>
      <c r="AG85" s="15">
        <f t="shared" si="7"/>
        <v>-1</v>
      </c>
    </row>
    <row r="86" spans="31:33" x14ac:dyDescent="0.2">
      <c r="AE86" s="125">
        <f t="shared" si="8"/>
        <v>-71</v>
      </c>
      <c r="AF86" s="15">
        <f t="shared" si="6"/>
        <v>72</v>
      </c>
      <c r="AG86" s="15">
        <f t="shared" si="7"/>
        <v>-1</v>
      </c>
    </row>
    <row r="87" spans="31:33" x14ac:dyDescent="0.2">
      <c r="AE87" s="125">
        <f t="shared" si="8"/>
        <v>-72</v>
      </c>
      <c r="AF87" s="15">
        <f t="shared" si="6"/>
        <v>73</v>
      </c>
      <c r="AG87" s="15">
        <f t="shared" si="7"/>
        <v>-1</v>
      </c>
    </row>
    <row r="88" spans="31:33" x14ac:dyDescent="0.2">
      <c r="AE88" s="125">
        <f t="shared" si="8"/>
        <v>-73</v>
      </c>
      <c r="AF88" s="15">
        <f t="shared" si="6"/>
        <v>74</v>
      </c>
      <c r="AG88" s="15">
        <f t="shared" si="7"/>
        <v>-1</v>
      </c>
    </row>
    <row r="89" spans="31:33" x14ac:dyDescent="0.2">
      <c r="AE89" s="125">
        <f t="shared" si="8"/>
        <v>-74</v>
      </c>
      <c r="AF89" s="15">
        <f t="shared" si="6"/>
        <v>75</v>
      </c>
      <c r="AG89" s="15">
        <f t="shared" si="7"/>
        <v>-1</v>
      </c>
    </row>
    <row r="90" spans="31:33" x14ac:dyDescent="0.2">
      <c r="AE90" s="125">
        <f t="shared" si="8"/>
        <v>-75</v>
      </c>
      <c r="AF90" s="15">
        <f t="shared" si="6"/>
        <v>76</v>
      </c>
      <c r="AG90" s="15">
        <f t="shared" si="7"/>
        <v>-1</v>
      </c>
    </row>
    <row r="91" spans="31:33" x14ac:dyDescent="0.2">
      <c r="AE91" s="125">
        <f t="shared" si="8"/>
        <v>-76</v>
      </c>
      <c r="AF91" s="15">
        <f t="shared" si="6"/>
        <v>77</v>
      </c>
      <c r="AG91" s="15">
        <f t="shared" si="7"/>
        <v>-1</v>
      </c>
    </row>
    <row r="92" spans="31:33" x14ac:dyDescent="0.2">
      <c r="AE92" s="125">
        <f t="shared" si="8"/>
        <v>-77</v>
      </c>
      <c r="AF92" s="15">
        <f t="shared" si="6"/>
        <v>78</v>
      </c>
      <c r="AG92" s="15">
        <f t="shared" si="7"/>
        <v>-1</v>
      </c>
    </row>
    <row r="93" spans="31:33" x14ac:dyDescent="0.2">
      <c r="AE93" s="125">
        <f t="shared" si="8"/>
        <v>-78</v>
      </c>
      <c r="AF93" s="15">
        <f t="shared" si="6"/>
        <v>79</v>
      </c>
      <c r="AG93" s="15">
        <f t="shared" si="7"/>
        <v>-1</v>
      </c>
    </row>
    <row r="94" spans="31:33" x14ac:dyDescent="0.2">
      <c r="AE94" s="125">
        <f t="shared" si="8"/>
        <v>-79</v>
      </c>
      <c r="AF94" s="15">
        <f t="shared" si="6"/>
        <v>80</v>
      </c>
      <c r="AG94" s="15">
        <f t="shared" si="7"/>
        <v>-1</v>
      </c>
    </row>
    <row r="95" spans="31:33" x14ac:dyDescent="0.2">
      <c r="AE95" s="125">
        <f t="shared" si="8"/>
        <v>-80</v>
      </c>
      <c r="AF95" s="15">
        <f t="shared" si="6"/>
        <v>81</v>
      </c>
      <c r="AG95" s="15">
        <f t="shared" si="7"/>
        <v>-1</v>
      </c>
    </row>
    <row r="96" spans="31:33" x14ac:dyDescent="0.2">
      <c r="AE96" s="125">
        <f t="shared" si="8"/>
        <v>-81</v>
      </c>
      <c r="AF96" s="15">
        <f t="shared" si="6"/>
        <v>82</v>
      </c>
      <c r="AG96" s="15">
        <f t="shared" si="7"/>
        <v>-1</v>
      </c>
    </row>
    <row r="97" spans="31:33" x14ac:dyDescent="0.2">
      <c r="AE97" s="125">
        <f t="shared" si="8"/>
        <v>-82</v>
      </c>
      <c r="AF97" s="15">
        <f t="shared" si="6"/>
        <v>83</v>
      </c>
      <c r="AG97" s="15">
        <f t="shared" si="7"/>
        <v>-1</v>
      </c>
    </row>
    <row r="98" spans="31:33" x14ac:dyDescent="0.2">
      <c r="AE98" s="125">
        <f t="shared" si="8"/>
        <v>-83</v>
      </c>
      <c r="AF98" s="15">
        <f t="shared" si="6"/>
        <v>84</v>
      </c>
      <c r="AG98" s="15">
        <f t="shared" si="7"/>
        <v>-1</v>
      </c>
    </row>
    <row r="99" spans="31:33" x14ac:dyDescent="0.2">
      <c r="AE99" s="125">
        <f t="shared" si="8"/>
        <v>-84</v>
      </c>
      <c r="AF99" s="15">
        <f t="shared" si="6"/>
        <v>85</v>
      </c>
      <c r="AG99" s="15">
        <f t="shared" si="7"/>
        <v>-1</v>
      </c>
    </row>
    <row r="100" spans="31:33" x14ac:dyDescent="0.2">
      <c r="AE100" s="125">
        <f t="shared" si="8"/>
        <v>-85</v>
      </c>
      <c r="AF100" s="15">
        <f t="shared" si="6"/>
        <v>86</v>
      </c>
      <c r="AG100" s="15">
        <f t="shared" si="7"/>
        <v>-1</v>
      </c>
    </row>
    <row r="101" spans="31:33" x14ac:dyDescent="0.2">
      <c r="AE101" s="125">
        <f t="shared" si="8"/>
        <v>-86</v>
      </c>
      <c r="AF101" s="15">
        <f t="shared" si="6"/>
        <v>87</v>
      </c>
      <c r="AG101" s="15">
        <f t="shared" si="7"/>
        <v>-1</v>
      </c>
    </row>
    <row r="102" spans="31:33" x14ac:dyDescent="0.2">
      <c r="AE102" s="125">
        <f t="shared" si="8"/>
        <v>-87</v>
      </c>
      <c r="AF102" s="15">
        <f t="shared" si="6"/>
        <v>88</v>
      </c>
      <c r="AG102" s="15">
        <f t="shared" si="7"/>
        <v>-1</v>
      </c>
    </row>
    <row r="103" spans="31:33" x14ac:dyDescent="0.2">
      <c r="AE103" s="125">
        <f t="shared" si="8"/>
        <v>-88</v>
      </c>
      <c r="AF103" s="15">
        <f t="shared" si="6"/>
        <v>89</v>
      </c>
      <c r="AG103" s="15">
        <f t="shared" si="7"/>
        <v>-1</v>
      </c>
    </row>
    <row r="104" spans="31:33" x14ac:dyDescent="0.2">
      <c r="AE104" s="125">
        <f t="shared" si="8"/>
        <v>-89</v>
      </c>
      <c r="AF104" s="15">
        <f t="shared" si="6"/>
        <v>90</v>
      </c>
      <c r="AG104" s="15">
        <f t="shared" si="7"/>
        <v>-1</v>
      </c>
    </row>
    <row r="105" spans="31:33" x14ac:dyDescent="0.2">
      <c r="AE105" s="125">
        <f t="shared" si="8"/>
        <v>-90</v>
      </c>
      <c r="AF105" s="15">
        <f t="shared" si="6"/>
        <v>91</v>
      </c>
      <c r="AG105" s="15">
        <f t="shared" si="7"/>
        <v>-1</v>
      </c>
    </row>
    <row r="106" spans="31:33" x14ac:dyDescent="0.2">
      <c r="AE106" s="125">
        <f t="shared" si="8"/>
        <v>-91</v>
      </c>
      <c r="AF106" s="15">
        <f t="shared" si="6"/>
        <v>92</v>
      </c>
      <c r="AG106" s="15">
        <f t="shared" si="7"/>
        <v>-1</v>
      </c>
    </row>
    <row r="107" spans="31:33" x14ac:dyDescent="0.2">
      <c r="AE107" s="125">
        <f t="shared" si="8"/>
        <v>-92</v>
      </c>
      <c r="AF107" s="15">
        <f t="shared" si="6"/>
        <v>93</v>
      </c>
      <c r="AG107" s="15">
        <f t="shared" si="7"/>
        <v>-1</v>
      </c>
    </row>
    <row r="108" spans="31:33" x14ac:dyDescent="0.2">
      <c r="AE108" s="125">
        <f t="shared" si="8"/>
        <v>-93</v>
      </c>
      <c r="AF108" s="15">
        <f t="shared" si="6"/>
        <v>94</v>
      </c>
      <c r="AG108" s="15">
        <f t="shared" si="7"/>
        <v>-1</v>
      </c>
    </row>
    <row r="109" spans="31:33" x14ac:dyDescent="0.2">
      <c r="AE109" s="125">
        <f t="shared" si="8"/>
        <v>-94</v>
      </c>
      <c r="AF109" s="15">
        <f t="shared" si="6"/>
        <v>95</v>
      </c>
      <c r="AG109" s="15">
        <f t="shared" si="7"/>
        <v>-1</v>
      </c>
    </row>
    <row r="110" spans="31:33" x14ac:dyDescent="0.2">
      <c r="AE110" s="125">
        <f t="shared" si="8"/>
        <v>-95</v>
      </c>
      <c r="AF110" s="15">
        <f t="shared" si="6"/>
        <v>96</v>
      </c>
      <c r="AG110" s="15">
        <f t="shared" si="7"/>
        <v>-1</v>
      </c>
    </row>
    <row r="111" spans="31:33" x14ac:dyDescent="0.2">
      <c r="AE111" s="125">
        <f t="shared" si="8"/>
        <v>-96</v>
      </c>
      <c r="AF111" s="15">
        <f t="shared" si="6"/>
        <v>97</v>
      </c>
      <c r="AG111" s="15">
        <f t="shared" si="7"/>
        <v>-1</v>
      </c>
    </row>
    <row r="112" spans="31:33" x14ac:dyDescent="0.2">
      <c r="AE112" s="125">
        <f t="shared" si="8"/>
        <v>-97</v>
      </c>
      <c r="AF112" s="15">
        <f t="shared" si="6"/>
        <v>98</v>
      </c>
      <c r="AG112" s="15">
        <f t="shared" si="7"/>
        <v>-1</v>
      </c>
    </row>
    <row r="113" spans="31:33" x14ac:dyDescent="0.2">
      <c r="AE113" s="125">
        <f t="shared" si="8"/>
        <v>-98</v>
      </c>
      <c r="AF113" s="15">
        <f t="shared" si="6"/>
        <v>99</v>
      </c>
      <c r="AG113" s="15">
        <f t="shared" si="7"/>
        <v>-1</v>
      </c>
    </row>
    <row r="114" spans="31:33" x14ac:dyDescent="0.2">
      <c r="AE114" s="125">
        <f t="shared" si="8"/>
        <v>-99</v>
      </c>
      <c r="AF114" s="15">
        <f t="shared" si="6"/>
        <v>100</v>
      </c>
      <c r="AG114" s="15">
        <f t="shared" si="7"/>
        <v>-1</v>
      </c>
    </row>
    <row r="115" spans="31:33" x14ac:dyDescent="0.2">
      <c r="AE115" s="125">
        <f t="shared" si="8"/>
        <v>-100</v>
      </c>
      <c r="AF115" s="15">
        <f t="shared" si="6"/>
        <v>101</v>
      </c>
      <c r="AG115" s="15">
        <f t="shared" si="7"/>
        <v>-1</v>
      </c>
    </row>
    <row r="116" spans="31:33" x14ac:dyDescent="0.2">
      <c r="AE116" s="125">
        <f t="shared" si="8"/>
        <v>-101</v>
      </c>
      <c r="AF116" s="15">
        <f t="shared" si="6"/>
        <v>102</v>
      </c>
      <c r="AG116" s="15">
        <f t="shared" si="7"/>
        <v>-1</v>
      </c>
    </row>
    <row r="117" spans="31:33" x14ac:dyDescent="0.2">
      <c r="AE117" s="125">
        <f t="shared" si="8"/>
        <v>-102</v>
      </c>
      <c r="AF117" s="15">
        <f t="shared" si="6"/>
        <v>103</v>
      </c>
      <c r="AG117" s="15">
        <f t="shared" si="7"/>
        <v>-1</v>
      </c>
    </row>
    <row r="118" spans="31:33" x14ac:dyDescent="0.2">
      <c r="AE118" s="125">
        <f t="shared" si="8"/>
        <v>-103</v>
      </c>
      <c r="AF118" s="15">
        <f t="shared" si="6"/>
        <v>104</v>
      </c>
      <c r="AG118" s="15">
        <f t="shared" si="7"/>
        <v>-1</v>
      </c>
    </row>
    <row r="119" spans="31:33" x14ac:dyDescent="0.2">
      <c r="AE119" s="125">
        <f t="shared" si="8"/>
        <v>-104</v>
      </c>
      <c r="AF119" s="15">
        <f t="shared" si="6"/>
        <v>105</v>
      </c>
      <c r="AG119" s="15">
        <f t="shared" si="7"/>
        <v>-1</v>
      </c>
    </row>
    <row r="120" spans="31:33" x14ac:dyDescent="0.2">
      <c r="AE120" s="125">
        <f t="shared" si="8"/>
        <v>-105</v>
      </c>
      <c r="AF120" s="15">
        <f t="shared" si="6"/>
        <v>106</v>
      </c>
      <c r="AG120" s="15">
        <f t="shared" si="7"/>
        <v>-1</v>
      </c>
    </row>
    <row r="121" spans="31:33" x14ac:dyDescent="0.2">
      <c r="AE121" s="125">
        <f t="shared" si="8"/>
        <v>-106</v>
      </c>
      <c r="AF121" s="15">
        <f t="shared" si="6"/>
        <v>107</v>
      </c>
      <c r="AG121" s="15">
        <f t="shared" si="7"/>
        <v>-1</v>
      </c>
    </row>
    <row r="122" spans="31:33" x14ac:dyDescent="0.2">
      <c r="AE122" s="125">
        <f t="shared" si="8"/>
        <v>-107</v>
      </c>
      <c r="AF122" s="15">
        <f t="shared" si="6"/>
        <v>108</v>
      </c>
      <c r="AG122" s="15">
        <f t="shared" si="7"/>
        <v>-1</v>
      </c>
    </row>
    <row r="123" spans="31:33" x14ac:dyDescent="0.2">
      <c r="AE123" s="125">
        <f t="shared" si="8"/>
        <v>-108</v>
      </c>
      <c r="AF123" s="15">
        <f t="shared" si="6"/>
        <v>109</v>
      </c>
      <c r="AG123" s="15">
        <f t="shared" si="7"/>
        <v>-1</v>
      </c>
    </row>
    <row r="124" spans="31:33" x14ac:dyDescent="0.2">
      <c r="AE124" s="125">
        <f t="shared" si="8"/>
        <v>-109</v>
      </c>
      <c r="AF124" s="15">
        <f t="shared" si="6"/>
        <v>110</v>
      </c>
      <c r="AG124" s="15">
        <f t="shared" si="7"/>
        <v>-1</v>
      </c>
    </row>
    <row r="125" spans="31:33" x14ac:dyDescent="0.2">
      <c r="AE125" s="125">
        <f t="shared" si="8"/>
        <v>-110</v>
      </c>
      <c r="AF125" s="15">
        <f t="shared" si="6"/>
        <v>111</v>
      </c>
      <c r="AG125" s="15">
        <f t="shared" si="7"/>
        <v>-1</v>
      </c>
    </row>
    <row r="126" spans="31:33" x14ac:dyDescent="0.2">
      <c r="AE126" s="125">
        <f t="shared" si="8"/>
        <v>-111</v>
      </c>
      <c r="AF126" s="15">
        <f t="shared" si="6"/>
        <v>112</v>
      </c>
      <c r="AG126" s="15">
        <f t="shared" si="7"/>
        <v>-1</v>
      </c>
    </row>
    <row r="127" spans="31:33" x14ac:dyDescent="0.2">
      <c r="AE127" s="125">
        <f t="shared" si="8"/>
        <v>-112</v>
      </c>
      <c r="AF127" s="15">
        <f t="shared" si="6"/>
        <v>113</v>
      </c>
      <c r="AG127" s="15">
        <f t="shared" si="7"/>
        <v>-1</v>
      </c>
    </row>
    <row r="128" spans="31:33" x14ac:dyDescent="0.2">
      <c r="AE128" s="125">
        <f t="shared" si="8"/>
        <v>-113</v>
      </c>
      <c r="AF128" s="15">
        <f t="shared" si="6"/>
        <v>114</v>
      </c>
      <c r="AG128" s="15">
        <f t="shared" si="7"/>
        <v>-1</v>
      </c>
    </row>
    <row r="129" spans="31:33" x14ac:dyDescent="0.2">
      <c r="AE129" s="125">
        <f t="shared" si="8"/>
        <v>-114</v>
      </c>
      <c r="AF129" s="15">
        <f t="shared" si="6"/>
        <v>115</v>
      </c>
      <c r="AG129" s="15">
        <f t="shared" si="7"/>
        <v>-1</v>
      </c>
    </row>
    <row r="130" spans="31:33" x14ac:dyDescent="0.2">
      <c r="AE130" s="125">
        <f t="shared" si="8"/>
        <v>-115</v>
      </c>
      <c r="AF130" s="15">
        <f t="shared" si="6"/>
        <v>116</v>
      </c>
      <c r="AG130" s="15">
        <f t="shared" si="7"/>
        <v>-1</v>
      </c>
    </row>
    <row r="131" spans="31:33" x14ac:dyDescent="0.2">
      <c r="AE131" s="125">
        <f t="shared" si="8"/>
        <v>-116</v>
      </c>
      <c r="AF131" s="15">
        <f t="shared" si="6"/>
        <v>117</v>
      </c>
      <c r="AG131" s="15">
        <f t="shared" si="7"/>
        <v>-1</v>
      </c>
    </row>
    <row r="132" spans="31:33" x14ac:dyDescent="0.2">
      <c r="AE132" s="125">
        <f t="shared" si="8"/>
        <v>-117</v>
      </c>
      <c r="AF132" s="15">
        <f t="shared" ref="AF132:AF195" si="9">IF(AF131&gt;=1,AF131+1,IF(AE132=0,1,-1))</f>
        <v>118</v>
      </c>
      <c r="AG132" s="15">
        <f t="shared" ref="AG132:AG195" si="10">IF(AND(AG131&gt;=1,AG131&lt;$AD$3),AG131+1,IF(AE132=0,1,-1))</f>
        <v>-1</v>
      </c>
    </row>
    <row r="133" spans="31:33" x14ac:dyDescent="0.2">
      <c r="AE133" s="125">
        <f t="shared" ref="AE133:AE196" si="11">AE132-1</f>
        <v>-118</v>
      </c>
      <c r="AF133" s="15">
        <f t="shared" si="9"/>
        <v>119</v>
      </c>
      <c r="AG133" s="15">
        <f t="shared" si="10"/>
        <v>-1</v>
      </c>
    </row>
    <row r="134" spans="31:33" x14ac:dyDescent="0.2">
      <c r="AE134" s="125">
        <f t="shared" si="11"/>
        <v>-119</v>
      </c>
      <c r="AF134" s="15">
        <f t="shared" si="9"/>
        <v>120</v>
      </c>
      <c r="AG134" s="15">
        <f t="shared" si="10"/>
        <v>-1</v>
      </c>
    </row>
    <row r="135" spans="31:33" x14ac:dyDescent="0.2">
      <c r="AE135" s="125">
        <f t="shared" si="11"/>
        <v>-120</v>
      </c>
      <c r="AF135" s="15">
        <f t="shared" si="9"/>
        <v>121</v>
      </c>
      <c r="AG135" s="15">
        <f t="shared" si="10"/>
        <v>-1</v>
      </c>
    </row>
    <row r="136" spans="31:33" x14ac:dyDescent="0.2">
      <c r="AE136" s="125">
        <f t="shared" si="11"/>
        <v>-121</v>
      </c>
      <c r="AF136" s="15">
        <f t="shared" si="9"/>
        <v>122</v>
      </c>
      <c r="AG136" s="15">
        <f t="shared" si="10"/>
        <v>-1</v>
      </c>
    </row>
    <row r="137" spans="31:33" x14ac:dyDescent="0.2">
      <c r="AE137" s="125">
        <f t="shared" si="11"/>
        <v>-122</v>
      </c>
      <c r="AF137" s="15">
        <f t="shared" si="9"/>
        <v>123</v>
      </c>
      <c r="AG137" s="15">
        <f t="shared" si="10"/>
        <v>-1</v>
      </c>
    </row>
    <row r="138" spans="31:33" x14ac:dyDescent="0.2">
      <c r="AE138" s="125">
        <f t="shared" si="11"/>
        <v>-123</v>
      </c>
      <c r="AF138" s="15">
        <f t="shared" si="9"/>
        <v>124</v>
      </c>
      <c r="AG138" s="15">
        <f t="shared" si="10"/>
        <v>-1</v>
      </c>
    </row>
    <row r="139" spans="31:33" x14ac:dyDescent="0.2">
      <c r="AE139" s="125">
        <f t="shared" si="11"/>
        <v>-124</v>
      </c>
      <c r="AF139" s="15">
        <f t="shared" si="9"/>
        <v>125</v>
      </c>
      <c r="AG139" s="15">
        <f t="shared" si="10"/>
        <v>-1</v>
      </c>
    </row>
    <row r="140" spans="31:33" x14ac:dyDescent="0.2">
      <c r="AE140" s="125">
        <f t="shared" si="11"/>
        <v>-125</v>
      </c>
      <c r="AF140" s="15">
        <f t="shared" si="9"/>
        <v>126</v>
      </c>
      <c r="AG140" s="15">
        <f t="shared" si="10"/>
        <v>-1</v>
      </c>
    </row>
    <row r="141" spans="31:33" x14ac:dyDescent="0.2">
      <c r="AE141" s="125">
        <f t="shared" si="11"/>
        <v>-126</v>
      </c>
      <c r="AF141" s="15">
        <f t="shared" si="9"/>
        <v>127</v>
      </c>
      <c r="AG141" s="15">
        <f t="shared" si="10"/>
        <v>-1</v>
      </c>
    </row>
    <row r="142" spans="31:33" x14ac:dyDescent="0.2">
      <c r="AE142" s="125">
        <f t="shared" si="11"/>
        <v>-127</v>
      </c>
      <c r="AF142" s="15">
        <f t="shared" si="9"/>
        <v>128</v>
      </c>
      <c r="AG142" s="15">
        <f t="shared" si="10"/>
        <v>-1</v>
      </c>
    </row>
    <row r="143" spans="31:33" x14ac:dyDescent="0.2">
      <c r="AE143" s="125">
        <f t="shared" si="11"/>
        <v>-128</v>
      </c>
      <c r="AF143" s="15">
        <f t="shared" si="9"/>
        <v>129</v>
      </c>
      <c r="AG143" s="15">
        <f t="shared" si="10"/>
        <v>-1</v>
      </c>
    </row>
    <row r="144" spans="31:33" x14ac:dyDescent="0.2">
      <c r="AE144" s="125">
        <f t="shared" si="11"/>
        <v>-129</v>
      </c>
      <c r="AF144" s="15">
        <f t="shared" si="9"/>
        <v>130</v>
      </c>
      <c r="AG144" s="15">
        <f t="shared" si="10"/>
        <v>-1</v>
      </c>
    </row>
    <row r="145" spans="31:33" x14ac:dyDescent="0.2">
      <c r="AE145" s="125">
        <f t="shared" si="11"/>
        <v>-130</v>
      </c>
      <c r="AF145" s="15">
        <f t="shared" si="9"/>
        <v>131</v>
      </c>
      <c r="AG145" s="15">
        <f t="shared" si="10"/>
        <v>-1</v>
      </c>
    </row>
    <row r="146" spans="31:33" x14ac:dyDescent="0.2">
      <c r="AE146" s="125">
        <f t="shared" si="11"/>
        <v>-131</v>
      </c>
      <c r="AF146" s="15">
        <f t="shared" si="9"/>
        <v>132</v>
      </c>
      <c r="AG146" s="15">
        <f t="shared" si="10"/>
        <v>-1</v>
      </c>
    </row>
    <row r="147" spans="31:33" x14ac:dyDescent="0.2">
      <c r="AE147" s="125">
        <f t="shared" si="11"/>
        <v>-132</v>
      </c>
      <c r="AF147" s="15">
        <f t="shared" si="9"/>
        <v>133</v>
      </c>
      <c r="AG147" s="15">
        <f t="shared" si="10"/>
        <v>-1</v>
      </c>
    </row>
    <row r="148" spans="31:33" x14ac:dyDescent="0.2">
      <c r="AE148" s="125">
        <f t="shared" si="11"/>
        <v>-133</v>
      </c>
      <c r="AF148" s="15">
        <f t="shared" si="9"/>
        <v>134</v>
      </c>
      <c r="AG148" s="15">
        <f t="shared" si="10"/>
        <v>-1</v>
      </c>
    </row>
    <row r="149" spans="31:33" x14ac:dyDescent="0.2">
      <c r="AE149" s="125">
        <f t="shared" si="11"/>
        <v>-134</v>
      </c>
      <c r="AF149" s="15">
        <f t="shared" si="9"/>
        <v>135</v>
      </c>
      <c r="AG149" s="15">
        <f t="shared" si="10"/>
        <v>-1</v>
      </c>
    </row>
    <row r="150" spans="31:33" x14ac:dyDescent="0.2">
      <c r="AE150" s="125">
        <f t="shared" si="11"/>
        <v>-135</v>
      </c>
      <c r="AF150" s="15">
        <f t="shared" si="9"/>
        <v>136</v>
      </c>
      <c r="AG150" s="15">
        <f t="shared" si="10"/>
        <v>-1</v>
      </c>
    </row>
    <row r="151" spans="31:33" x14ac:dyDescent="0.2">
      <c r="AE151" s="125">
        <f t="shared" si="11"/>
        <v>-136</v>
      </c>
      <c r="AF151" s="15">
        <f t="shared" si="9"/>
        <v>137</v>
      </c>
      <c r="AG151" s="15">
        <f t="shared" si="10"/>
        <v>-1</v>
      </c>
    </row>
    <row r="152" spans="31:33" x14ac:dyDescent="0.2">
      <c r="AE152" s="125">
        <f t="shared" si="11"/>
        <v>-137</v>
      </c>
      <c r="AF152" s="15">
        <f t="shared" si="9"/>
        <v>138</v>
      </c>
      <c r="AG152" s="15">
        <f t="shared" si="10"/>
        <v>-1</v>
      </c>
    </row>
    <row r="153" spans="31:33" x14ac:dyDescent="0.2">
      <c r="AE153" s="125">
        <f t="shared" si="11"/>
        <v>-138</v>
      </c>
      <c r="AF153" s="15">
        <f t="shared" si="9"/>
        <v>139</v>
      </c>
      <c r="AG153" s="15">
        <f t="shared" si="10"/>
        <v>-1</v>
      </c>
    </row>
    <row r="154" spans="31:33" x14ac:dyDescent="0.2">
      <c r="AE154" s="125">
        <f t="shared" si="11"/>
        <v>-139</v>
      </c>
      <c r="AF154" s="15">
        <f t="shared" si="9"/>
        <v>140</v>
      </c>
      <c r="AG154" s="15">
        <f t="shared" si="10"/>
        <v>-1</v>
      </c>
    </row>
    <row r="155" spans="31:33" x14ac:dyDescent="0.2">
      <c r="AE155" s="125">
        <f t="shared" si="11"/>
        <v>-140</v>
      </c>
      <c r="AF155" s="15">
        <f t="shared" si="9"/>
        <v>141</v>
      </c>
      <c r="AG155" s="15">
        <f t="shared" si="10"/>
        <v>-1</v>
      </c>
    </row>
    <row r="156" spans="31:33" x14ac:dyDescent="0.2">
      <c r="AE156" s="125">
        <f t="shared" si="11"/>
        <v>-141</v>
      </c>
      <c r="AF156" s="15">
        <f t="shared" si="9"/>
        <v>142</v>
      </c>
      <c r="AG156" s="15">
        <f t="shared" si="10"/>
        <v>-1</v>
      </c>
    </row>
    <row r="157" spans="31:33" x14ac:dyDescent="0.2">
      <c r="AE157" s="125">
        <f t="shared" si="11"/>
        <v>-142</v>
      </c>
      <c r="AF157" s="15">
        <f t="shared" si="9"/>
        <v>143</v>
      </c>
      <c r="AG157" s="15">
        <f t="shared" si="10"/>
        <v>-1</v>
      </c>
    </row>
    <row r="158" spans="31:33" x14ac:dyDescent="0.2">
      <c r="AE158" s="125">
        <f t="shared" si="11"/>
        <v>-143</v>
      </c>
      <c r="AF158" s="15">
        <f t="shared" si="9"/>
        <v>144</v>
      </c>
      <c r="AG158" s="15">
        <f t="shared" si="10"/>
        <v>-1</v>
      </c>
    </row>
    <row r="159" spans="31:33" x14ac:dyDescent="0.2">
      <c r="AE159" s="125">
        <f t="shared" si="11"/>
        <v>-144</v>
      </c>
      <c r="AF159" s="15">
        <f t="shared" si="9"/>
        <v>145</v>
      </c>
      <c r="AG159" s="15">
        <f t="shared" si="10"/>
        <v>-1</v>
      </c>
    </row>
    <row r="160" spans="31:33" x14ac:dyDescent="0.2">
      <c r="AE160" s="125">
        <f t="shared" si="11"/>
        <v>-145</v>
      </c>
      <c r="AF160" s="15">
        <f t="shared" si="9"/>
        <v>146</v>
      </c>
      <c r="AG160" s="15">
        <f t="shared" si="10"/>
        <v>-1</v>
      </c>
    </row>
    <row r="161" spans="31:33" x14ac:dyDescent="0.2">
      <c r="AE161" s="125">
        <f t="shared" si="11"/>
        <v>-146</v>
      </c>
      <c r="AF161" s="15">
        <f t="shared" si="9"/>
        <v>147</v>
      </c>
      <c r="AG161" s="15">
        <f t="shared" si="10"/>
        <v>-1</v>
      </c>
    </row>
    <row r="162" spans="31:33" x14ac:dyDescent="0.2">
      <c r="AE162" s="125">
        <f t="shared" si="11"/>
        <v>-147</v>
      </c>
      <c r="AF162" s="15">
        <f t="shared" si="9"/>
        <v>148</v>
      </c>
      <c r="AG162" s="15">
        <f t="shared" si="10"/>
        <v>-1</v>
      </c>
    </row>
    <row r="163" spans="31:33" x14ac:dyDescent="0.2">
      <c r="AE163" s="125">
        <f t="shared" si="11"/>
        <v>-148</v>
      </c>
      <c r="AF163" s="15">
        <f t="shared" si="9"/>
        <v>149</v>
      </c>
      <c r="AG163" s="15">
        <f t="shared" si="10"/>
        <v>-1</v>
      </c>
    </row>
    <row r="164" spans="31:33" x14ac:dyDescent="0.2">
      <c r="AE164" s="125">
        <f t="shared" si="11"/>
        <v>-149</v>
      </c>
      <c r="AF164" s="15">
        <f t="shared" si="9"/>
        <v>150</v>
      </c>
      <c r="AG164" s="15">
        <f t="shared" si="10"/>
        <v>-1</v>
      </c>
    </row>
    <row r="165" spans="31:33" x14ac:dyDescent="0.2">
      <c r="AE165" s="125">
        <f t="shared" si="11"/>
        <v>-150</v>
      </c>
      <c r="AF165" s="15">
        <f t="shared" si="9"/>
        <v>151</v>
      </c>
      <c r="AG165" s="15">
        <f t="shared" si="10"/>
        <v>-1</v>
      </c>
    </row>
    <row r="166" spans="31:33" x14ac:dyDescent="0.2">
      <c r="AE166" s="125">
        <f t="shared" si="11"/>
        <v>-151</v>
      </c>
      <c r="AF166" s="15">
        <f t="shared" si="9"/>
        <v>152</v>
      </c>
      <c r="AG166" s="15">
        <f t="shared" si="10"/>
        <v>-1</v>
      </c>
    </row>
    <row r="167" spans="31:33" x14ac:dyDescent="0.2">
      <c r="AE167" s="125">
        <f t="shared" si="11"/>
        <v>-152</v>
      </c>
      <c r="AF167" s="15">
        <f t="shared" si="9"/>
        <v>153</v>
      </c>
      <c r="AG167" s="15">
        <f t="shared" si="10"/>
        <v>-1</v>
      </c>
    </row>
    <row r="168" spans="31:33" x14ac:dyDescent="0.2">
      <c r="AE168" s="125">
        <f t="shared" si="11"/>
        <v>-153</v>
      </c>
      <c r="AF168" s="15">
        <f t="shared" si="9"/>
        <v>154</v>
      </c>
      <c r="AG168" s="15">
        <f t="shared" si="10"/>
        <v>-1</v>
      </c>
    </row>
    <row r="169" spans="31:33" x14ac:dyDescent="0.2">
      <c r="AE169" s="125">
        <f t="shared" si="11"/>
        <v>-154</v>
      </c>
      <c r="AF169" s="15">
        <f t="shared" si="9"/>
        <v>155</v>
      </c>
      <c r="AG169" s="15">
        <f t="shared" si="10"/>
        <v>-1</v>
      </c>
    </row>
    <row r="170" spans="31:33" x14ac:dyDescent="0.2">
      <c r="AE170" s="125">
        <f t="shared" si="11"/>
        <v>-155</v>
      </c>
      <c r="AF170" s="15">
        <f t="shared" si="9"/>
        <v>156</v>
      </c>
      <c r="AG170" s="15">
        <f t="shared" si="10"/>
        <v>-1</v>
      </c>
    </row>
    <row r="171" spans="31:33" x14ac:dyDescent="0.2">
      <c r="AE171" s="125">
        <f t="shared" si="11"/>
        <v>-156</v>
      </c>
      <c r="AF171" s="15">
        <f t="shared" si="9"/>
        <v>157</v>
      </c>
      <c r="AG171" s="15">
        <f t="shared" si="10"/>
        <v>-1</v>
      </c>
    </row>
    <row r="172" spans="31:33" x14ac:dyDescent="0.2">
      <c r="AE172" s="125">
        <f t="shared" si="11"/>
        <v>-157</v>
      </c>
      <c r="AF172" s="15">
        <f t="shared" si="9"/>
        <v>158</v>
      </c>
      <c r="AG172" s="15">
        <f t="shared" si="10"/>
        <v>-1</v>
      </c>
    </row>
    <row r="173" spans="31:33" x14ac:dyDescent="0.2">
      <c r="AE173" s="125">
        <f t="shared" si="11"/>
        <v>-158</v>
      </c>
      <c r="AF173" s="15">
        <f t="shared" si="9"/>
        <v>159</v>
      </c>
      <c r="AG173" s="15">
        <f t="shared" si="10"/>
        <v>-1</v>
      </c>
    </row>
    <row r="174" spans="31:33" x14ac:dyDescent="0.2">
      <c r="AE174" s="125">
        <f t="shared" si="11"/>
        <v>-159</v>
      </c>
      <c r="AF174" s="15">
        <f t="shared" si="9"/>
        <v>160</v>
      </c>
      <c r="AG174" s="15">
        <f t="shared" si="10"/>
        <v>-1</v>
      </c>
    </row>
    <row r="175" spans="31:33" x14ac:dyDescent="0.2">
      <c r="AE175" s="125">
        <f t="shared" si="11"/>
        <v>-160</v>
      </c>
      <c r="AF175" s="15">
        <f t="shared" si="9"/>
        <v>161</v>
      </c>
      <c r="AG175" s="15">
        <f t="shared" si="10"/>
        <v>-1</v>
      </c>
    </row>
    <row r="176" spans="31:33" x14ac:dyDescent="0.2">
      <c r="AE176" s="125">
        <f t="shared" si="11"/>
        <v>-161</v>
      </c>
      <c r="AF176" s="15">
        <f t="shared" si="9"/>
        <v>162</v>
      </c>
      <c r="AG176" s="15">
        <f t="shared" si="10"/>
        <v>-1</v>
      </c>
    </row>
    <row r="177" spans="31:33" x14ac:dyDescent="0.2">
      <c r="AE177" s="125">
        <f t="shared" si="11"/>
        <v>-162</v>
      </c>
      <c r="AF177" s="15">
        <f t="shared" si="9"/>
        <v>163</v>
      </c>
      <c r="AG177" s="15">
        <f t="shared" si="10"/>
        <v>-1</v>
      </c>
    </row>
    <row r="178" spans="31:33" x14ac:dyDescent="0.2">
      <c r="AE178" s="125">
        <f t="shared" si="11"/>
        <v>-163</v>
      </c>
      <c r="AF178" s="15">
        <f t="shared" si="9"/>
        <v>164</v>
      </c>
      <c r="AG178" s="15">
        <f t="shared" si="10"/>
        <v>-1</v>
      </c>
    </row>
    <row r="179" spans="31:33" x14ac:dyDescent="0.2">
      <c r="AE179" s="125">
        <f t="shared" si="11"/>
        <v>-164</v>
      </c>
      <c r="AF179" s="15">
        <f t="shared" si="9"/>
        <v>165</v>
      </c>
      <c r="AG179" s="15">
        <f t="shared" si="10"/>
        <v>-1</v>
      </c>
    </row>
    <row r="180" spans="31:33" x14ac:dyDescent="0.2">
      <c r="AE180" s="125">
        <f t="shared" si="11"/>
        <v>-165</v>
      </c>
      <c r="AF180" s="15">
        <f t="shared" si="9"/>
        <v>166</v>
      </c>
      <c r="AG180" s="15">
        <f t="shared" si="10"/>
        <v>-1</v>
      </c>
    </row>
    <row r="181" spans="31:33" x14ac:dyDescent="0.2">
      <c r="AE181" s="125">
        <f t="shared" si="11"/>
        <v>-166</v>
      </c>
      <c r="AF181" s="15">
        <f t="shared" si="9"/>
        <v>167</v>
      </c>
      <c r="AG181" s="15">
        <f t="shared" si="10"/>
        <v>-1</v>
      </c>
    </row>
    <row r="182" spans="31:33" x14ac:dyDescent="0.2">
      <c r="AE182" s="125">
        <f t="shared" si="11"/>
        <v>-167</v>
      </c>
      <c r="AF182" s="15">
        <f t="shared" si="9"/>
        <v>168</v>
      </c>
      <c r="AG182" s="15">
        <f t="shared" si="10"/>
        <v>-1</v>
      </c>
    </row>
    <row r="183" spans="31:33" x14ac:dyDescent="0.2">
      <c r="AE183" s="125">
        <f t="shared" si="11"/>
        <v>-168</v>
      </c>
      <c r="AF183" s="15">
        <f t="shared" si="9"/>
        <v>169</v>
      </c>
      <c r="AG183" s="15">
        <f t="shared" si="10"/>
        <v>-1</v>
      </c>
    </row>
    <row r="184" spans="31:33" x14ac:dyDescent="0.2">
      <c r="AE184" s="125">
        <f t="shared" si="11"/>
        <v>-169</v>
      </c>
      <c r="AF184" s="15">
        <f t="shared" si="9"/>
        <v>170</v>
      </c>
      <c r="AG184" s="15">
        <f t="shared" si="10"/>
        <v>-1</v>
      </c>
    </row>
    <row r="185" spans="31:33" x14ac:dyDescent="0.2">
      <c r="AE185" s="125">
        <f t="shared" si="11"/>
        <v>-170</v>
      </c>
      <c r="AF185" s="15">
        <f t="shared" si="9"/>
        <v>171</v>
      </c>
      <c r="AG185" s="15">
        <f t="shared" si="10"/>
        <v>-1</v>
      </c>
    </row>
    <row r="186" spans="31:33" x14ac:dyDescent="0.2">
      <c r="AE186" s="125">
        <f t="shared" si="11"/>
        <v>-171</v>
      </c>
      <c r="AF186" s="15">
        <f t="shared" si="9"/>
        <v>172</v>
      </c>
      <c r="AG186" s="15">
        <f t="shared" si="10"/>
        <v>-1</v>
      </c>
    </row>
    <row r="187" spans="31:33" x14ac:dyDescent="0.2">
      <c r="AE187" s="125">
        <f t="shared" si="11"/>
        <v>-172</v>
      </c>
      <c r="AF187" s="15">
        <f t="shared" si="9"/>
        <v>173</v>
      </c>
      <c r="AG187" s="15">
        <f t="shared" si="10"/>
        <v>-1</v>
      </c>
    </row>
    <row r="188" spans="31:33" x14ac:dyDescent="0.2">
      <c r="AE188" s="125">
        <f t="shared" si="11"/>
        <v>-173</v>
      </c>
      <c r="AF188" s="15">
        <f t="shared" si="9"/>
        <v>174</v>
      </c>
      <c r="AG188" s="15">
        <f t="shared" si="10"/>
        <v>-1</v>
      </c>
    </row>
    <row r="189" spans="31:33" x14ac:dyDescent="0.2">
      <c r="AE189" s="125">
        <f t="shared" si="11"/>
        <v>-174</v>
      </c>
      <c r="AF189" s="15">
        <f t="shared" si="9"/>
        <v>175</v>
      </c>
      <c r="AG189" s="15">
        <f t="shared" si="10"/>
        <v>-1</v>
      </c>
    </row>
    <row r="190" spans="31:33" x14ac:dyDescent="0.2">
      <c r="AE190" s="125">
        <f t="shared" si="11"/>
        <v>-175</v>
      </c>
      <c r="AF190" s="15">
        <f t="shared" si="9"/>
        <v>176</v>
      </c>
      <c r="AG190" s="15">
        <f t="shared" si="10"/>
        <v>-1</v>
      </c>
    </row>
    <row r="191" spans="31:33" x14ac:dyDescent="0.2">
      <c r="AE191" s="125">
        <f t="shared" si="11"/>
        <v>-176</v>
      </c>
      <c r="AF191" s="15">
        <f t="shared" si="9"/>
        <v>177</v>
      </c>
      <c r="AG191" s="15">
        <f t="shared" si="10"/>
        <v>-1</v>
      </c>
    </row>
    <row r="192" spans="31:33" x14ac:dyDescent="0.2">
      <c r="AE192" s="125">
        <f t="shared" si="11"/>
        <v>-177</v>
      </c>
      <c r="AF192" s="15">
        <f t="shared" si="9"/>
        <v>178</v>
      </c>
      <c r="AG192" s="15">
        <f t="shared" si="10"/>
        <v>-1</v>
      </c>
    </row>
    <row r="193" spans="31:33" x14ac:dyDescent="0.2">
      <c r="AE193" s="125">
        <f t="shared" si="11"/>
        <v>-178</v>
      </c>
      <c r="AF193" s="15">
        <f t="shared" si="9"/>
        <v>179</v>
      </c>
      <c r="AG193" s="15">
        <f t="shared" si="10"/>
        <v>-1</v>
      </c>
    </row>
    <row r="194" spans="31:33" x14ac:dyDescent="0.2">
      <c r="AE194" s="125">
        <f t="shared" si="11"/>
        <v>-179</v>
      </c>
      <c r="AF194" s="15">
        <f t="shared" si="9"/>
        <v>180</v>
      </c>
      <c r="AG194" s="15">
        <f t="shared" si="10"/>
        <v>-1</v>
      </c>
    </row>
    <row r="195" spans="31:33" x14ac:dyDescent="0.2">
      <c r="AE195" s="125">
        <f t="shared" si="11"/>
        <v>-180</v>
      </c>
      <c r="AF195" s="15">
        <f t="shared" si="9"/>
        <v>181</v>
      </c>
      <c r="AG195" s="15">
        <f t="shared" si="10"/>
        <v>-1</v>
      </c>
    </row>
    <row r="196" spans="31:33" x14ac:dyDescent="0.2">
      <c r="AE196" s="125">
        <f t="shared" si="11"/>
        <v>-181</v>
      </c>
      <c r="AF196" s="15">
        <f t="shared" ref="AF196:AF259" si="12">IF(AF195&gt;=1,AF195+1,IF(AE196=0,1,-1))</f>
        <v>182</v>
      </c>
      <c r="AG196" s="15">
        <f t="shared" ref="AG196:AG259" si="13">IF(AND(AG195&gt;=1,AG195&lt;$AD$3),AG195+1,IF(AE196=0,1,-1))</f>
        <v>-1</v>
      </c>
    </row>
    <row r="197" spans="31:33" x14ac:dyDescent="0.2">
      <c r="AE197" s="125">
        <f t="shared" ref="AE197:AE260" si="14">AE196-1</f>
        <v>-182</v>
      </c>
      <c r="AF197" s="15">
        <f t="shared" si="12"/>
        <v>183</v>
      </c>
      <c r="AG197" s="15">
        <f t="shared" si="13"/>
        <v>-1</v>
      </c>
    </row>
    <row r="198" spans="31:33" x14ac:dyDescent="0.2">
      <c r="AE198" s="125">
        <f t="shared" si="14"/>
        <v>-183</v>
      </c>
      <c r="AF198" s="15">
        <f t="shared" si="12"/>
        <v>184</v>
      </c>
      <c r="AG198" s="15">
        <f t="shared" si="13"/>
        <v>-1</v>
      </c>
    </row>
    <row r="199" spans="31:33" x14ac:dyDescent="0.2">
      <c r="AE199" s="125">
        <f t="shared" si="14"/>
        <v>-184</v>
      </c>
      <c r="AF199" s="15">
        <f t="shared" si="12"/>
        <v>185</v>
      </c>
      <c r="AG199" s="15">
        <f t="shared" si="13"/>
        <v>-1</v>
      </c>
    </row>
    <row r="200" spans="31:33" x14ac:dyDescent="0.2">
      <c r="AE200" s="125">
        <f t="shared" si="14"/>
        <v>-185</v>
      </c>
      <c r="AF200" s="15">
        <f t="shared" si="12"/>
        <v>186</v>
      </c>
      <c r="AG200" s="15">
        <f t="shared" si="13"/>
        <v>-1</v>
      </c>
    </row>
    <row r="201" spans="31:33" x14ac:dyDescent="0.2">
      <c r="AE201" s="125">
        <f t="shared" si="14"/>
        <v>-186</v>
      </c>
      <c r="AF201" s="15">
        <f t="shared" si="12"/>
        <v>187</v>
      </c>
      <c r="AG201" s="15">
        <f t="shared" si="13"/>
        <v>-1</v>
      </c>
    </row>
    <row r="202" spans="31:33" x14ac:dyDescent="0.2">
      <c r="AE202" s="125">
        <f t="shared" si="14"/>
        <v>-187</v>
      </c>
      <c r="AF202" s="15">
        <f t="shared" si="12"/>
        <v>188</v>
      </c>
      <c r="AG202" s="15">
        <f t="shared" si="13"/>
        <v>-1</v>
      </c>
    </row>
    <row r="203" spans="31:33" x14ac:dyDescent="0.2">
      <c r="AE203" s="125">
        <f t="shared" si="14"/>
        <v>-188</v>
      </c>
      <c r="AF203" s="15">
        <f t="shared" si="12"/>
        <v>189</v>
      </c>
      <c r="AG203" s="15">
        <f t="shared" si="13"/>
        <v>-1</v>
      </c>
    </row>
    <row r="204" spans="31:33" x14ac:dyDescent="0.2">
      <c r="AE204" s="125">
        <f t="shared" si="14"/>
        <v>-189</v>
      </c>
      <c r="AF204" s="15">
        <f t="shared" si="12"/>
        <v>190</v>
      </c>
      <c r="AG204" s="15">
        <f t="shared" si="13"/>
        <v>-1</v>
      </c>
    </row>
    <row r="205" spans="31:33" x14ac:dyDescent="0.2">
      <c r="AE205" s="125">
        <f t="shared" si="14"/>
        <v>-190</v>
      </c>
      <c r="AF205" s="15">
        <f t="shared" si="12"/>
        <v>191</v>
      </c>
      <c r="AG205" s="15">
        <f t="shared" si="13"/>
        <v>-1</v>
      </c>
    </row>
    <row r="206" spans="31:33" x14ac:dyDescent="0.2">
      <c r="AE206" s="125">
        <f t="shared" si="14"/>
        <v>-191</v>
      </c>
      <c r="AF206" s="15">
        <f t="shared" si="12"/>
        <v>192</v>
      </c>
      <c r="AG206" s="15">
        <f t="shared" si="13"/>
        <v>-1</v>
      </c>
    </row>
    <row r="207" spans="31:33" x14ac:dyDescent="0.2">
      <c r="AE207" s="125">
        <f t="shared" si="14"/>
        <v>-192</v>
      </c>
      <c r="AF207" s="15">
        <f t="shared" si="12"/>
        <v>193</v>
      </c>
      <c r="AG207" s="15">
        <f t="shared" si="13"/>
        <v>-1</v>
      </c>
    </row>
    <row r="208" spans="31:33" x14ac:dyDescent="0.2">
      <c r="AE208" s="125">
        <f t="shared" si="14"/>
        <v>-193</v>
      </c>
      <c r="AF208" s="15">
        <f t="shared" si="12"/>
        <v>194</v>
      </c>
      <c r="AG208" s="15">
        <f t="shared" si="13"/>
        <v>-1</v>
      </c>
    </row>
    <row r="209" spans="31:33" x14ac:dyDescent="0.2">
      <c r="AE209" s="125">
        <f t="shared" si="14"/>
        <v>-194</v>
      </c>
      <c r="AF209" s="15">
        <f t="shared" si="12"/>
        <v>195</v>
      </c>
      <c r="AG209" s="15">
        <f t="shared" si="13"/>
        <v>-1</v>
      </c>
    </row>
    <row r="210" spans="31:33" x14ac:dyDescent="0.2">
      <c r="AE210" s="125">
        <f t="shared" si="14"/>
        <v>-195</v>
      </c>
      <c r="AF210" s="15">
        <f t="shared" si="12"/>
        <v>196</v>
      </c>
      <c r="AG210" s="15">
        <f t="shared" si="13"/>
        <v>-1</v>
      </c>
    </row>
    <row r="211" spans="31:33" x14ac:dyDescent="0.2">
      <c r="AE211" s="125">
        <f t="shared" si="14"/>
        <v>-196</v>
      </c>
      <c r="AF211" s="15">
        <f t="shared" si="12"/>
        <v>197</v>
      </c>
      <c r="AG211" s="15">
        <f t="shared" si="13"/>
        <v>-1</v>
      </c>
    </row>
    <row r="212" spans="31:33" x14ac:dyDescent="0.2">
      <c r="AE212" s="125">
        <f t="shared" si="14"/>
        <v>-197</v>
      </c>
      <c r="AF212" s="15">
        <f t="shared" si="12"/>
        <v>198</v>
      </c>
      <c r="AG212" s="15">
        <f t="shared" si="13"/>
        <v>-1</v>
      </c>
    </row>
    <row r="213" spans="31:33" x14ac:dyDescent="0.2">
      <c r="AE213" s="125">
        <f t="shared" si="14"/>
        <v>-198</v>
      </c>
      <c r="AF213" s="15">
        <f t="shared" si="12"/>
        <v>199</v>
      </c>
      <c r="AG213" s="15">
        <f t="shared" si="13"/>
        <v>-1</v>
      </c>
    </row>
    <row r="214" spans="31:33" x14ac:dyDescent="0.2">
      <c r="AE214" s="125">
        <f t="shared" si="14"/>
        <v>-199</v>
      </c>
      <c r="AF214" s="15">
        <f t="shared" si="12"/>
        <v>200</v>
      </c>
      <c r="AG214" s="15">
        <f t="shared" si="13"/>
        <v>-1</v>
      </c>
    </row>
    <row r="215" spans="31:33" x14ac:dyDescent="0.2">
      <c r="AE215" s="125">
        <f t="shared" si="14"/>
        <v>-200</v>
      </c>
      <c r="AF215" s="15">
        <f t="shared" si="12"/>
        <v>201</v>
      </c>
      <c r="AG215" s="15">
        <f t="shared" si="13"/>
        <v>-1</v>
      </c>
    </row>
    <row r="216" spans="31:33" x14ac:dyDescent="0.2">
      <c r="AE216" s="125">
        <f t="shared" si="14"/>
        <v>-201</v>
      </c>
      <c r="AF216" s="15">
        <f t="shared" si="12"/>
        <v>202</v>
      </c>
      <c r="AG216" s="15">
        <f t="shared" si="13"/>
        <v>-1</v>
      </c>
    </row>
    <row r="217" spans="31:33" x14ac:dyDescent="0.2">
      <c r="AE217" s="125">
        <f t="shared" si="14"/>
        <v>-202</v>
      </c>
      <c r="AF217" s="15">
        <f t="shared" si="12"/>
        <v>203</v>
      </c>
      <c r="AG217" s="15">
        <f t="shared" si="13"/>
        <v>-1</v>
      </c>
    </row>
    <row r="218" spans="31:33" x14ac:dyDescent="0.2">
      <c r="AE218" s="125">
        <f t="shared" si="14"/>
        <v>-203</v>
      </c>
      <c r="AF218" s="15">
        <f t="shared" si="12"/>
        <v>204</v>
      </c>
      <c r="AG218" s="15">
        <f t="shared" si="13"/>
        <v>-1</v>
      </c>
    </row>
    <row r="219" spans="31:33" x14ac:dyDescent="0.2">
      <c r="AE219" s="125">
        <f t="shared" si="14"/>
        <v>-204</v>
      </c>
      <c r="AF219" s="15">
        <f t="shared" si="12"/>
        <v>205</v>
      </c>
      <c r="AG219" s="15">
        <f t="shared" si="13"/>
        <v>-1</v>
      </c>
    </row>
    <row r="220" spans="31:33" x14ac:dyDescent="0.2">
      <c r="AE220" s="125">
        <f t="shared" si="14"/>
        <v>-205</v>
      </c>
      <c r="AF220" s="15">
        <f t="shared" si="12"/>
        <v>206</v>
      </c>
      <c r="AG220" s="15">
        <f t="shared" si="13"/>
        <v>-1</v>
      </c>
    </row>
    <row r="221" spans="31:33" x14ac:dyDescent="0.2">
      <c r="AE221" s="125">
        <f t="shared" si="14"/>
        <v>-206</v>
      </c>
      <c r="AF221" s="15">
        <f t="shared" si="12"/>
        <v>207</v>
      </c>
      <c r="AG221" s="15">
        <f t="shared" si="13"/>
        <v>-1</v>
      </c>
    </row>
    <row r="222" spans="31:33" x14ac:dyDescent="0.2">
      <c r="AE222" s="125">
        <f t="shared" si="14"/>
        <v>-207</v>
      </c>
      <c r="AF222" s="15">
        <f t="shared" si="12"/>
        <v>208</v>
      </c>
      <c r="AG222" s="15">
        <f t="shared" si="13"/>
        <v>-1</v>
      </c>
    </row>
    <row r="223" spans="31:33" x14ac:dyDescent="0.2">
      <c r="AE223" s="125">
        <f t="shared" si="14"/>
        <v>-208</v>
      </c>
      <c r="AF223" s="15">
        <f t="shared" si="12"/>
        <v>209</v>
      </c>
      <c r="AG223" s="15">
        <f t="shared" si="13"/>
        <v>-1</v>
      </c>
    </row>
    <row r="224" spans="31:33" x14ac:dyDescent="0.2">
      <c r="AE224" s="125">
        <f t="shared" si="14"/>
        <v>-209</v>
      </c>
      <c r="AF224" s="15">
        <f t="shared" si="12"/>
        <v>210</v>
      </c>
      <c r="AG224" s="15">
        <f t="shared" si="13"/>
        <v>-1</v>
      </c>
    </row>
    <row r="225" spans="31:33" x14ac:dyDescent="0.2">
      <c r="AE225" s="125">
        <f t="shared" si="14"/>
        <v>-210</v>
      </c>
      <c r="AF225" s="15">
        <f t="shared" si="12"/>
        <v>211</v>
      </c>
      <c r="AG225" s="15">
        <f t="shared" si="13"/>
        <v>-1</v>
      </c>
    </row>
    <row r="226" spans="31:33" x14ac:dyDescent="0.2">
      <c r="AE226" s="125">
        <f t="shared" si="14"/>
        <v>-211</v>
      </c>
      <c r="AF226" s="15">
        <f t="shared" si="12"/>
        <v>212</v>
      </c>
      <c r="AG226" s="15">
        <f t="shared" si="13"/>
        <v>-1</v>
      </c>
    </row>
    <row r="227" spans="31:33" x14ac:dyDescent="0.2">
      <c r="AE227" s="125">
        <f t="shared" si="14"/>
        <v>-212</v>
      </c>
      <c r="AF227" s="15">
        <f t="shared" si="12"/>
        <v>213</v>
      </c>
      <c r="AG227" s="15">
        <f t="shared" si="13"/>
        <v>-1</v>
      </c>
    </row>
    <row r="228" spans="31:33" x14ac:dyDescent="0.2">
      <c r="AE228" s="125">
        <f t="shared" si="14"/>
        <v>-213</v>
      </c>
      <c r="AF228" s="15">
        <f t="shared" si="12"/>
        <v>214</v>
      </c>
      <c r="AG228" s="15">
        <f t="shared" si="13"/>
        <v>-1</v>
      </c>
    </row>
    <row r="229" spans="31:33" x14ac:dyDescent="0.2">
      <c r="AE229" s="125">
        <f t="shared" si="14"/>
        <v>-214</v>
      </c>
      <c r="AF229" s="15">
        <f t="shared" si="12"/>
        <v>215</v>
      </c>
      <c r="AG229" s="15">
        <f t="shared" si="13"/>
        <v>-1</v>
      </c>
    </row>
    <row r="230" spans="31:33" x14ac:dyDescent="0.2">
      <c r="AE230" s="125">
        <f t="shared" si="14"/>
        <v>-215</v>
      </c>
      <c r="AF230" s="15">
        <f t="shared" si="12"/>
        <v>216</v>
      </c>
      <c r="AG230" s="15">
        <f t="shared" si="13"/>
        <v>-1</v>
      </c>
    </row>
    <row r="231" spans="31:33" x14ac:dyDescent="0.2">
      <c r="AE231" s="125">
        <f t="shared" si="14"/>
        <v>-216</v>
      </c>
      <c r="AF231" s="15">
        <f t="shared" si="12"/>
        <v>217</v>
      </c>
      <c r="AG231" s="15">
        <f t="shared" si="13"/>
        <v>-1</v>
      </c>
    </row>
    <row r="232" spans="31:33" x14ac:dyDescent="0.2">
      <c r="AE232" s="125">
        <f t="shared" si="14"/>
        <v>-217</v>
      </c>
      <c r="AF232" s="15">
        <f t="shared" si="12"/>
        <v>218</v>
      </c>
      <c r="AG232" s="15">
        <f t="shared" si="13"/>
        <v>-1</v>
      </c>
    </row>
    <row r="233" spans="31:33" x14ac:dyDescent="0.2">
      <c r="AE233" s="125">
        <f t="shared" si="14"/>
        <v>-218</v>
      </c>
      <c r="AF233" s="15">
        <f t="shared" si="12"/>
        <v>219</v>
      </c>
      <c r="AG233" s="15">
        <f t="shared" si="13"/>
        <v>-1</v>
      </c>
    </row>
    <row r="234" spans="31:33" x14ac:dyDescent="0.2">
      <c r="AE234" s="125">
        <f t="shared" si="14"/>
        <v>-219</v>
      </c>
      <c r="AF234" s="15">
        <f t="shared" si="12"/>
        <v>220</v>
      </c>
      <c r="AG234" s="15">
        <f t="shared" si="13"/>
        <v>-1</v>
      </c>
    </row>
    <row r="235" spans="31:33" x14ac:dyDescent="0.2">
      <c r="AE235" s="125">
        <f t="shared" si="14"/>
        <v>-220</v>
      </c>
      <c r="AF235" s="15">
        <f t="shared" si="12"/>
        <v>221</v>
      </c>
      <c r="AG235" s="15">
        <f t="shared" si="13"/>
        <v>-1</v>
      </c>
    </row>
    <row r="236" spans="31:33" x14ac:dyDescent="0.2">
      <c r="AE236" s="125">
        <f t="shared" si="14"/>
        <v>-221</v>
      </c>
      <c r="AF236" s="15">
        <f t="shared" si="12"/>
        <v>222</v>
      </c>
      <c r="AG236" s="15">
        <f t="shared" si="13"/>
        <v>-1</v>
      </c>
    </row>
    <row r="237" spans="31:33" x14ac:dyDescent="0.2">
      <c r="AE237" s="125">
        <f t="shared" si="14"/>
        <v>-222</v>
      </c>
      <c r="AF237" s="15">
        <f t="shared" si="12"/>
        <v>223</v>
      </c>
      <c r="AG237" s="15">
        <f t="shared" si="13"/>
        <v>-1</v>
      </c>
    </row>
    <row r="238" spans="31:33" x14ac:dyDescent="0.2">
      <c r="AE238" s="125">
        <f t="shared" si="14"/>
        <v>-223</v>
      </c>
      <c r="AF238" s="15">
        <f t="shared" si="12"/>
        <v>224</v>
      </c>
      <c r="AG238" s="15">
        <f t="shared" si="13"/>
        <v>-1</v>
      </c>
    </row>
    <row r="239" spans="31:33" x14ac:dyDescent="0.2">
      <c r="AE239" s="125">
        <f t="shared" si="14"/>
        <v>-224</v>
      </c>
      <c r="AF239" s="15">
        <f t="shared" si="12"/>
        <v>225</v>
      </c>
      <c r="AG239" s="15">
        <f t="shared" si="13"/>
        <v>-1</v>
      </c>
    </row>
    <row r="240" spans="31:33" x14ac:dyDescent="0.2">
      <c r="AE240" s="125">
        <f t="shared" si="14"/>
        <v>-225</v>
      </c>
      <c r="AF240" s="15">
        <f t="shared" si="12"/>
        <v>226</v>
      </c>
      <c r="AG240" s="15">
        <f t="shared" si="13"/>
        <v>-1</v>
      </c>
    </row>
    <row r="241" spans="31:33" x14ac:dyDescent="0.2">
      <c r="AE241" s="125">
        <f t="shared" si="14"/>
        <v>-226</v>
      </c>
      <c r="AF241" s="15">
        <f t="shared" si="12"/>
        <v>227</v>
      </c>
      <c r="AG241" s="15">
        <f t="shared" si="13"/>
        <v>-1</v>
      </c>
    </row>
    <row r="242" spans="31:33" x14ac:dyDescent="0.2">
      <c r="AE242" s="125">
        <f t="shared" si="14"/>
        <v>-227</v>
      </c>
      <c r="AF242" s="15">
        <f t="shared" si="12"/>
        <v>228</v>
      </c>
      <c r="AG242" s="15">
        <f t="shared" si="13"/>
        <v>-1</v>
      </c>
    </row>
    <row r="243" spans="31:33" x14ac:dyDescent="0.2">
      <c r="AE243" s="125">
        <f t="shared" si="14"/>
        <v>-228</v>
      </c>
      <c r="AF243" s="15">
        <f t="shared" si="12"/>
        <v>229</v>
      </c>
      <c r="AG243" s="15">
        <f t="shared" si="13"/>
        <v>-1</v>
      </c>
    </row>
    <row r="244" spans="31:33" x14ac:dyDescent="0.2">
      <c r="AE244" s="125">
        <f t="shared" si="14"/>
        <v>-229</v>
      </c>
      <c r="AF244" s="15">
        <f t="shared" si="12"/>
        <v>230</v>
      </c>
      <c r="AG244" s="15">
        <f t="shared" si="13"/>
        <v>-1</v>
      </c>
    </row>
    <row r="245" spans="31:33" x14ac:dyDescent="0.2">
      <c r="AE245" s="125">
        <f t="shared" si="14"/>
        <v>-230</v>
      </c>
      <c r="AF245" s="15">
        <f t="shared" si="12"/>
        <v>231</v>
      </c>
      <c r="AG245" s="15">
        <f t="shared" si="13"/>
        <v>-1</v>
      </c>
    </row>
    <row r="246" spans="31:33" x14ac:dyDescent="0.2">
      <c r="AE246" s="125">
        <f t="shared" si="14"/>
        <v>-231</v>
      </c>
      <c r="AF246" s="15">
        <f t="shared" si="12"/>
        <v>232</v>
      </c>
      <c r="AG246" s="15">
        <f t="shared" si="13"/>
        <v>-1</v>
      </c>
    </row>
    <row r="247" spans="31:33" x14ac:dyDescent="0.2">
      <c r="AE247" s="125">
        <f t="shared" si="14"/>
        <v>-232</v>
      </c>
      <c r="AF247" s="15">
        <f t="shared" si="12"/>
        <v>233</v>
      </c>
      <c r="AG247" s="15">
        <f t="shared" si="13"/>
        <v>-1</v>
      </c>
    </row>
    <row r="248" spans="31:33" x14ac:dyDescent="0.2">
      <c r="AE248" s="125">
        <f t="shared" si="14"/>
        <v>-233</v>
      </c>
      <c r="AF248" s="15">
        <f t="shared" si="12"/>
        <v>234</v>
      </c>
      <c r="AG248" s="15">
        <f t="shared" si="13"/>
        <v>-1</v>
      </c>
    </row>
    <row r="249" spans="31:33" x14ac:dyDescent="0.2">
      <c r="AE249" s="125">
        <f t="shared" si="14"/>
        <v>-234</v>
      </c>
      <c r="AF249" s="15">
        <f t="shared" si="12"/>
        <v>235</v>
      </c>
      <c r="AG249" s="15">
        <f t="shared" si="13"/>
        <v>-1</v>
      </c>
    </row>
    <row r="250" spans="31:33" x14ac:dyDescent="0.2">
      <c r="AE250" s="125">
        <f t="shared" si="14"/>
        <v>-235</v>
      </c>
      <c r="AF250" s="15">
        <f t="shared" si="12"/>
        <v>236</v>
      </c>
      <c r="AG250" s="15">
        <f t="shared" si="13"/>
        <v>-1</v>
      </c>
    </row>
    <row r="251" spans="31:33" x14ac:dyDescent="0.2">
      <c r="AE251" s="125">
        <f t="shared" si="14"/>
        <v>-236</v>
      </c>
      <c r="AF251" s="15">
        <f t="shared" si="12"/>
        <v>237</v>
      </c>
      <c r="AG251" s="15">
        <f t="shared" si="13"/>
        <v>-1</v>
      </c>
    </row>
    <row r="252" spans="31:33" x14ac:dyDescent="0.2">
      <c r="AE252" s="125">
        <f t="shared" si="14"/>
        <v>-237</v>
      </c>
      <c r="AF252" s="15">
        <f t="shared" si="12"/>
        <v>238</v>
      </c>
      <c r="AG252" s="15">
        <f t="shared" si="13"/>
        <v>-1</v>
      </c>
    </row>
    <row r="253" spans="31:33" x14ac:dyDescent="0.2">
      <c r="AE253" s="125">
        <f t="shared" si="14"/>
        <v>-238</v>
      </c>
      <c r="AF253" s="15">
        <f t="shared" si="12"/>
        <v>239</v>
      </c>
      <c r="AG253" s="15">
        <f t="shared" si="13"/>
        <v>-1</v>
      </c>
    </row>
    <row r="254" spans="31:33" x14ac:dyDescent="0.2">
      <c r="AE254" s="125">
        <f t="shared" si="14"/>
        <v>-239</v>
      </c>
      <c r="AF254" s="15">
        <f t="shared" si="12"/>
        <v>240</v>
      </c>
      <c r="AG254" s="15">
        <f t="shared" si="13"/>
        <v>-1</v>
      </c>
    </row>
    <row r="255" spans="31:33" x14ac:dyDescent="0.2">
      <c r="AE255" s="125">
        <f t="shared" si="14"/>
        <v>-240</v>
      </c>
      <c r="AF255" s="15">
        <f t="shared" si="12"/>
        <v>241</v>
      </c>
      <c r="AG255" s="15">
        <f t="shared" si="13"/>
        <v>-1</v>
      </c>
    </row>
    <row r="256" spans="31:33" x14ac:dyDescent="0.2">
      <c r="AE256" s="125">
        <f t="shared" si="14"/>
        <v>-241</v>
      </c>
      <c r="AF256" s="15">
        <f t="shared" si="12"/>
        <v>242</v>
      </c>
      <c r="AG256" s="15">
        <f t="shared" si="13"/>
        <v>-1</v>
      </c>
    </row>
    <row r="257" spans="31:33" x14ac:dyDescent="0.2">
      <c r="AE257" s="125">
        <f t="shared" si="14"/>
        <v>-242</v>
      </c>
      <c r="AF257" s="15">
        <f t="shared" si="12"/>
        <v>243</v>
      </c>
      <c r="AG257" s="15">
        <f t="shared" si="13"/>
        <v>-1</v>
      </c>
    </row>
    <row r="258" spans="31:33" x14ac:dyDescent="0.2">
      <c r="AE258" s="125">
        <f t="shared" si="14"/>
        <v>-243</v>
      </c>
      <c r="AF258" s="15">
        <f t="shared" si="12"/>
        <v>244</v>
      </c>
      <c r="AG258" s="15">
        <f t="shared" si="13"/>
        <v>-1</v>
      </c>
    </row>
    <row r="259" spans="31:33" x14ac:dyDescent="0.2">
      <c r="AE259" s="125">
        <f t="shared" si="14"/>
        <v>-244</v>
      </c>
      <c r="AF259" s="15">
        <f t="shared" si="12"/>
        <v>245</v>
      </c>
      <c r="AG259" s="15">
        <f t="shared" si="13"/>
        <v>-1</v>
      </c>
    </row>
    <row r="260" spans="31:33" x14ac:dyDescent="0.2">
      <c r="AE260" s="125">
        <f t="shared" si="14"/>
        <v>-245</v>
      </c>
      <c r="AF260" s="15">
        <f t="shared" ref="AF260:AF323" si="15">IF(AF259&gt;=1,AF259+1,IF(AE260=0,1,-1))</f>
        <v>246</v>
      </c>
      <c r="AG260" s="15">
        <f t="shared" ref="AG260:AG323" si="16">IF(AND(AG259&gt;=1,AG259&lt;$AD$3),AG259+1,IF(AE260=0,1,-1))</f>
        <v>-1</v>
      </c>
    </row>
    <row r="261" spans="31:33" x14ac:dyDescent="0.2">
      <c r="AE261" s="125">
        <f t="shared" ref="AE261:AE324" si="17">AE260-1</f>
        <v>-246</v>
      </c>
      <c r="AF261" s="15">
        <f t="shared" si="15"/>
        <v>247</v>
      </c>
      <c r="AG261" s="15">
        <f t="shared" si="16"/>
        <v>-1</v>
      </c>
    </row>
    <row r="262" spans="31:33" x14ac:dyDescent="0.2">
      <c r="AE262" s="125">
        <f t="shared" si="17"/>
        <v>-247</v>
      </c>
      <c r="AF262" s="15">
        <f t="shared" si="15"/>
        <v>248</v>
      </c>
      <c r="AG262" s="15">
        <f t="shared" si="16"/>
        <v>-1</v>
      </c>
    </row>
    <row r="263" spans="31:33" x14ac:dyDescent="0.2">
      <c r="AE263" s="125">
        <f t="shared" si="17"/>
        <v>-248</v>
      </c>
      <c r="AF263" s="15">
        <f t="shared" si="15"/>
        <v>249</v>
      </c>
      <c r="AG263" s="15">
        <f t="shared" si="16"/>
        <v>-1</v>
      </c>
    </row>
    <row r="264" spans="31:33" x14ac:dyDescent="0.2">
      <c r="AE264" s="125">
        <f t="shared" si="17"/>
        <v>-249</v>
      </c>
      <c r="AF264" s="15">
        <f t="shared" si="15"/>
        <v>250</v>
      </c>
      <c r="AG264" s="15">
        <f t="shared" si="16"/>
        <v>-1</v>
      </c>
    </row>
    <row r="265" spans="31:33" x14ac:dyDescent="0.2">
      <c r="AE265" s="125">
        <f t="shared" si="17"/>
        <v>-250</v>
      </c>
      <c r="AF265" s="15">
        <f t="shared" si="15"/>
        <v>251</v>
      </c>
      <c r="AG265" s="15">
        <f t="shared" si="16"/>
        <v>-1</v>
      </c>
    </row>
    <row r="266" spans="31:33" x14ac:dyDescent="0.2">
      <c r="AE266" s="125">
        <f t="shared" si="17"/>
        <v>-251</v>
      </c>
      <c r="AF266" s="15">
        <f t="shared" si="15"/>
        <v>252</v>
      </c>
      <c r="AG266" s="15">
        <f t="shared" si="16"/>
        <v>-1</v>
      </c>
    </row>
    <row r="267" spans="31:33" x14ac:dyDescent="0.2">
      <c r="AE267" s="125">
        <f t="shared" si="17"/>
        <v>-252</v>
      </c>
      <c r="AF267" s="15">
        <f t="shared" si="15"/>
        <v>253</v>
      </c>
      <c r="AG267" s="15">
        <f t="shared" si="16"/>
        <v>-1</v>
      </c>
    </row>
    <row r="268" spans="31:33" x14ac:dyDescent="0.2">
      <c r="AE268" s="125">
        <f t="shared" si="17"/>
        <v>-253</v>
      </c>
      <c r="AF268" s="15">
        <f t="shared" si="15"/>
        <v>254</v>
      </c>
      <c r="AG268" s="15">
        <f t="shared" si="16"/>
        <v>-1</v>
      </c>
    </row>
    <row r="269" spans="31:33" x14ac:dyDescent="0.2">
      <c r="AE269" s="125">
        <f t="shared" si="17"/>
        <v>-254</v>
      </c>
      <c r="AF269" s="15">
        <f t="shared" si="15"/>
        <v>255</v>
      </c>
      <c r="AG269" s="15">
        <f t="shared" si="16"/>
        <v>-1</v>
      </c>
    </row>
    <row r="270" spans="31:33" x14ac:dyDescent="0.2">
      <c r="AE270" s="125">
        <f t="shared" si="17"/>
        <v>-255</v>
      </c>
      <c r="AF270" s="15">
        <f t="shared" si="15"/>
        <v>256</v>
      </c>
      <c r="AG270" s="15">
        <f t="shared" si="16"/>
        <v>-1</v>
      </c>
    </row>
    <row r="271" spans="31:33" x14ac:dyDescent="0.2">
      <c r="AE271" s="125">
        <f t="shared" si="17"/>
        <v>-256</v>
      </c>
      <c r="AF271" s="15">
        <f t="shared" si="15"/>
        <v>257</v>
      </c>
      <c r="AG271" s="15">
        <f t="shared" si="16"/>
        <v>-1</v>
      </c>
    </row>
    <row r="272" spans="31:33" x14ac:dyDescent="0.2">
      <c r="AE272" s="125">
        <f t="shared" si="17"/>
        <v>-257</v>
      </c>
      <c r="AF272" s="15">
        <f t="shared" si="15"/>
        <v>258</v>
      </c>
      <c r="AG272" s="15">
        <f t="shared" si="16"/>
        <v>-1</v>
      </c>
    </row>
    <row r="273" spans="31:33" x14ac:dyDescent="0.2">
      <c r="AE273" s="125">
        <f t="shared" si="17"/>
        <v>-258</v>
      </c>
      <c r="AF273" s="15">
        <f t="shared" si="15"/>
        <v>259</v>
      </c>
      <c r="AG273" s="15">
        <f t="shared" si="16"/>
        <v>-1</v>
      </c>
    </row>
    <row r="274" spans="31:33" x14ac:dyDescent="0.2">
      <c r="AE274" s="125">
        <f t="shared" si="17"/>
        <v>-259</v>
      </c>
      <c r="AF274" s="15">
        <f t="shared" si="15"/>
        <v>260</v>
      </c>
      <c r="AG274" s="15">
        <f t="shared" si="16"/>
        <v>-1</v>
      </c>
    </row>
    <row r="275" spans="31:33" x14ac:dyDescent="0.2">
      <c r="AE275" s="125">
        <f t="shared" si="17"/>
        <v>-260</v>
      </c>
      <c r="AF275" s="15">
        <f t="shared" si="15"/>
        <v>261</v>
      </c>
      <c r="AG275" s="15">
        <f t="shared" si="16"/>
        <v>-1</v>
      </c>
    </row>
    <row r="276" spans="31:33" x14ac:dyDescent="0.2">
      <c r="AE276" s="125">
        <f t="shared" si="17"/>
        <v>-261</v>
      </c>
      <c r="AF276" s="15">
        <f t="shared" si="15"/>
        <v>262</v>
      </c>
      <c r="AG276" s="15">
        <f t="shared" si="16"/>
        <v>-1</v>
      </c>
    </row>
    <row r="277" spans="31:33" x14ac:dyDescent="0.2">
      <c r="AE277" s="125">
        <f t="shared" si="17"/>
        <v>-262</v>
      </c>
      <c r="AF277" s="15">
        <f t="shared" si="15"/>
        <v>263</v>
      </c>
      <c r="AG277" s="15">
        <f t="shared" si="16"/>
        <v>-1</v>
      </c>
    </row>
    <row r="278" spans="31:33" x14ac:dyDescent="0.2">
      <c r="AE278" s="125">
        <f t="shared" si="17"/>
        <v>-263</v>
      </c>
      <c r="AF278" s="15">
        <f t="shared" si="15"/>
        <v>264</v>
      </c>
      <c r="AG278" s="15">
        <f t="shared" si="16"/>
        <v>-1</v>
      </c>
    </row>
    <row r="279" spans="31:33" x14ac:dyDescent="0.2">
      <c r="AE279" s="125">
        <f t="shared" si="17"/>
        <v>-264</v>
      </c>
      <c r="AF279" s="15">
        <f t="shared" si="15"/>
        <v>265</v>
      </c>
      <c r="AG279" s="15">
        <f t="shared" si="16"/>
        <v>-1</v>
      </c>
    </row>
    <row r="280" spans="31:33" x14ac:dyDescent="0.2">
      <c r="AE280" s="125">
        <f t="shared" si="17"/>
        <v>-265</v>
      </c>
      <c r="AF280" s="15">
        <f t="shared" si="15"/>
        <v>266</v>
      </c>
      <c r="AG280" s="15">
        <f t="shared" si="16"/>
        <v>-1</v>
      </c>
    </row>
    <row r="281" spans="31:33" x14ac:dyDescent="0.2">
      <c r="AE281" s="125">
        <f t="shared" si="17"/>
        <v>-266</v>
      </c>
      <c r="AF281" s="15">
        <f t="shared" si="15"/>
        <v>267</v>
      </c>
      <c r="AG281" s="15">
        <f t="shared" si="16"/>
        <v>-1</v>
      </c>
    </row>
    <row r="282" spans="31:33" x14ac:dyDescent="0.2">
      <c r="AE282" s="125">
        <f t="shared" si="17"/>
        <v>-267</v>
      </c>
      <c r="AF282" s="15">
        <f t="shared" si="15"/>
        <v>268</v>
      </c>
      <c r="AG282" s="15">
        <f t="shared" si="16"/>
        <v>-1</v>
      </c>
    </row>
    <row r="283" spans="31:33" x14ac:dyDescent="0.2">
      <c r="AE283" s="125">
        <f t="shared" si="17"/>
        <v>-268</v>
      </c>
      <c r="AF283" s="15">
        <f t="shared" si="15"/>
        <v>269</v>
      </c>
      <c r="AG283" s="15">
        <f t="shared" si="16"/>
        <v>-1</v>
      </c>
    </row>
    <row r="284" spans="31:33" x14ac:dyDescent="0.2">
      <c r="AE284" s="125">
        <f t="shared" si="17"/>
        <v>-269</v>
      </c>
      <c r="AF284" s="15">
        <f t="shared" si="15"/>
        <v>270</v>
      </c>
      <c r="AG284" s="15">
        <f t="shared" si="16"/>
        <v>-1</v>
      </c>
    </row>
    <row r="285" spans="31:33" x14ac:dyDescent="0.2">
      <c r="AE285" s="125">
        <f t="shared" si="17"/>
        <v>-270</v>
      </c>
      <c r="AF285" s="15">
        <f t="shared" si="15"/>
        <v>271</v>
      </c>
      <c r="AG285" s="15">
        <f t="shared" si="16"/>
        <v>-1</v>
      </c>
    </row>
    <row r="286" spans="31:33" x14ac:dyDescent="0.2">
      <c r="AE286" s="125">
        <f t="shared" si="17"/>
        <v>-271</v>
      </c>
      <c r="AF286" s="15">
        <f t="shared" si="15"/>
        <v>272</v>
      </c>
      <c r="AG286" s="15">
        <f t="shared" si="16"/>
        <v>-1</v>
      </c>
    </row>
    <row r="287" spans="31:33" x14ac:dyDescent="0.2">
      <c r="AE287" s="125">
        <f t="shared" si="17"/>
        <v>-272</v>
      </c>
      <c r="AF287" s="15">
        <f t="shared" si="15"/>
        <v>273</v>
      </c>
      <c r="AG287" s="15">
        <f t="shared" si="16"/>
        <v>-1</v>
      </c>
    </row>
    <row r="288" spans="31:33" x14ac:dyDescent="0.2">
      <c r="AE288" s="125">
        <f t="shared" si="17"/>
        <v>-273</v>
      </c>
      <c r="AF288" s="15">
        <f t="shared" si="15"/>
        <v>274</v>
      </c>
      <c r="AG288" s="15">
        <f t="shared" si="16"/>
        <v>-1</v>
      </c>
    </row>
    <row r="289" spans="31:33" x14ac:dyDescent="0.2">
      <c r="AE289" s="125">
        <f t="shared" si="17"/>
        <v>-274</v>
      </c>
      <c r="AF289" s="15">
        <f t="shared" si="15"/>
        <v>275</v>
      </c>
      <c r="AG289" s="15">
        <f t="shared" si="16"/>
        <v>-1</v>
      </c>
    </row>
    <row r="290" spans="31:33" x14ac:dyDescent="0.2">
      <c r="AE290" s="125">
        <f t="shared" si="17"/>
        <v>-275</v>
      </c>
      <c r="AF290" s="15">
        <f t="shared" si="15"/>
        <v>276</v>
      </c>
      <c r="AG290" s="15">
        <f t="shared" si="16"/>
        <v>-1</v>
      </c>
    </row>
    <row r="291" spans="31:33" x14ac:dyDescent="0.2">
      <c r="AE291" s="125">
        <f t="shared" si="17"/>
        <v>-276</v>
      </c>
      <c r="AF291" s="15">
        <f t="shared" si="15"/>
        <v>277</v>
      </c>
      <c r="AG291" s="15">
        <f t="shared" si="16"/>
        <v>-1</v>
      </c>
    </row>
    <row r="292" spans="31:33" x14ac:dyDescent="0.2">
      <c r="AE292" s="125">
        <f t="shared" si="17"/>
        <v>-277</v>
      </c>
      <c r="AF292" s="15">
        <f t="shared" si="15"/>
        <v>278</v>
      </c>
      <c r="AG292" s="15">
        <f t="shared" si="16"/>
        <v>-1</v>
      </c>
    </row>
    <row r="293" spans="31:33" x14ac:dyDescent="0.2">
      <c r="AE293" s="125">
        <f t="shared" si="17"/>
        <v>-278</v>
      </c>
      <c r="AF293" s="15">
        <f t="shared" si="15"/>
        <v>279</v>
      </c>
      <c r="AG293" s="15">
        <f t="shared" si="16"/>
        <v>-1</v>
      </c>
    </row>
    <row r="294" spans="31:33" x14ac:dyDescent="0.2">
      <c r="AE294" s="125">
        <f t="shared" si="17"/>
        <v>-279</v>
      </c>
      <c r="AF294" s="15">
        <f t="shared" si="15"/>
        <v>280</v>
      </c>
      <c r="AG294" s="15">
        <f t="shared" si="16"/>
        <v>-1</v>
      </c>
    </row>
    <row r="295" spans="31:33" x14ac:dyDescent="0.2">
      <c r="AE295" s="125">
        <f t="shared" si="17"/>
        <v>-280</v>
      </c>
      <c r="AF295" s="15">
        <f t="shared" si="15"/>
        <v>281</v>
      </c>
      <c r="AG295" s="15">
        <f t="shared" si="16"/>
        <v>-1</v>
      </c>
    </row>
    <row r="296" spans="31:33" x14ac:dyDescent="0.2">
      <c r="AE296" s="125">
        <f t="shared" si="17"/>
        <v>-281</v>
      </c>
      <c r="AF296" s="15">
        <f t="shared" si="15"/>
        <v>282</v>
      </c>
      <c r="AG296" s="15">
        <f t="shared" si="16"/>
        <v>-1</v>
      </c>
    </row>
    <row r="297" spans="31:33" x14ac:dyDescent="0.2">
      <c r="AE297" s="125">
        <f t="shared" si="17"/>
        <v>-282</v>
      </c>
      <c r="AF297" s="15">
        <f t="shared" si="15"/>
        <v>283</v>
      </c>
      <c r="AG297" s="15">
        <f t="shared" si="16"/>
        <v>-1</v>
      </c>
    </row>
    <row r="298" spans="31:33" x14ac:dyDescent="0.2">
      <c r="AE298" s="125">
        <f t="shared" si="17"/>
        <v>-283</v>
      </c>
      <c r="AF298" s="15">
        <f t="shared" si="15"/>
        <v>284</v>
      </c>
      <c r="AG298" s="15">
        <f t="shared" si="16"/>
        <v>-1</v>
      </c>
    </row>
    <row r="299" spans="31:33" x14ac:dyDescent="0.2">
      <c r="AE299" s="125">
        <f t="shared" si="17"/>
        <v>-284</v>
      </c>
      <c r="AF299" s="15">
        <f t="shared" si="15"/>
        <v>285</v>
      </c>
      <c r="AG299" s="15">
        <f t="shared" si="16"/>
        <v>-1</v>
      </c>
    </row>
    <row r="300" spans="31:33" x14ac:dyDescent="0.2">
      <c r="AE300" s="125">
        <f t="shared" si="17"/>
        <v>-285</v>
      </c>
      <c r="AF300" s="15">
        <f t="shared" si="15"/>
        <v>286</v>
      </c>
      <c r="AG300" s="15">
        <f t="shared" si="16"/>
        <v>-1</v>
      </c>
    </row>
    <row r="301" spans="31:33" x14ac:dyDescent="0.2">
      <c r="AE301" s="125">
        <f t="shared" si="17"/>
        <v>-286</v>
      </c>
      <c r="AF301" s="15">
        <f t="shared" si="15"/>
        <v>287</v>
      </c>
      <c r="AG301" s="15">
        <f t="shared" si="16"/>
        <v>-1</v>
      </c>
    </row>
    <row r="302" spans="31:33" x14ac:dyDescent="0.2">
      <c r="AE302" s="125">
        <f t="shared" si="17"/>
        <v>-287</v>
      </c>
      <c r="AF302" s="15">
        <f t="shared" si="15"/>
        <v>288</v>
      </c>
      <c r="AG302" s="15">
        <f t="shared" si="16"/>
        <v>-1</v>
      </c>
    </row>
    <row r="303" spans="31:33" x14ac:dyDescent="0.2">
      <c r="AE303" s="125">
        <f t="shared" si="17"/>
        <v>-288</v>
      </c>
      <c r="AF303" s="15">
        <f t="shared" si="15"/>
        <v>289</v>
      </c>
      <c r="AG303" s="15">
        <f t="shared" si="16"/>
        <v>-1</v>
      </c>
    </row>
    <row r="304" spans="31:33" x14ac:dyDescent="0.2">
      <c r="AE304" s="125">
        <f t="shared" si="17"/>
        <v>-289</v>
      </c>
      <c r="AF304" s="15">
        <f t="shared" si="15"/>
        <v>290</v>
      </c>
      <c r="AG304" s="15">
        <f t="shared" si="16"/>
        <v>-1</v>
      </c>
    </row>
    <row r="305" spans="31:33" x14ac:dyDescent="0.2">
      <c r="AE305" s="125">
        <f t="shared" si="17"/>
        <v>-290</v>
      </c>
      <c r="AF305" s="15">
        <f t="shared" si="15"/>
        <v>291</v>
      </c>
      <c r="AG305" s="15">
        <f t="shared" si="16"/>
        <v>-1</v>
      </c>
    </row>
    <row r="306" spans="31:33" x14ac:dyDescent="0.2">
      <c r="AE306" s="125">
        <f t="shared" si="17"/>
        <v>-291</v>
      </c>
      <c r="AF306" s="15">
        <f t="shared" si="15"/>
        <v>292</v>
      </c>
      <c r="AG306" s="15">
        <f t="shared" si="16"/>
        <v>-1</v>
      </c>
    </row>
    <row r="307" spans="31:33" x14ac:dyDescent="0.2">
      <c r="AE307" s="125">
        <f t="shared" si="17"/>
        <v>-292</v>
      </c>
      <c r="AF307" s="15">
        <f t="shared" si="15"/>
        <v>293</v>
      </c>
      <c r="AG307" s="15">
        <f t="shared" si="16"/>
        <v>-1</v>
      </c>
    </row>
    <row r="308" spans="31:33" x14ac:dyDescent="0.2">
      <c r="AE308" s="125">
        <f t="shared" si="17"/>
        <v>-293</v>
      </c>
      <c r="AF308" s="15">
        <f t="shared" si="15"/>
        <v>294</v>
      </c>
      <c r="AG308" s="15">
        <f t="shared" si="16"/>
        <v>-1</v>
      </c>
    </row>
    <row r="309" spans="31:33" x14ac:dyDescent="0.2">
      <c r="AE309" s="125">
        <f t="shared" si="17"/>
        <v>-294</v>
      </c>
      <c r="AF309" s="15">
        <f t="shared" si="15"/>
        <v>295</v>
      </c>
      <c r="AG309" s="15">
        <f t="shared" si="16"/>
        <v>-1</v>
      </c>
    </row>
    <row r="310" spans="31:33" x14ac:dyDescent="0.2">
      <c r="AE310" s="125">
        <f t="shared" si="17"/>
        <v>-295</v>
      </c>
      <c r="AF310" s="15">
        <f t="shared" si="15"/>
        <v>296</v>
      </c>
      <c r="AG310" s="15">
        <f t="shared" si="16"/>
        <v>-1</v>
      </c>
    </row>
    <row r="311" spans="31:33" x14ac:dyDescent="0.2">
      <c r="AE311" s="125">
        <f t="shared" si="17"/>
        <v>-296</v>
      </c>
      <c r="AF311" s="15">
        <f t="shared" si="15"/>
        <v>297</v>
      </c>
      <c r="AG311" s="15">
        <f t="shared" si="16"/>
        <v>-1</v>
      </c>
    </row>
    <row r="312" spans="31:33" x14ac:dyDescent="0.2">
      <c r="AE312" s="125">
        <f t="shared" si="17"/>
        <v>-297</v>
      </c>
      <c r="AF312" s="15">
        <f t="shared" si="15"/>
        <v>298</v>
      </c>
      <c r="AG312" s="15">
        <f t="shared" si="16"/>
        <v>-1</v>
      </c>
    </row>
    <row r="313" spans="31:33" x14ac:dyDescent="0.2">
      <c r="AE313" s="125">
        <f t="shared" si="17"/>
        <v>-298</v>
      </c>
      <c r="AF313" s="15">
        <f t="shared" si="15"/>
        <v>299</v>
      </c>
      <c r="AG313" s="15">
        <f t="shared" si="16"/>
        <v>-1</v>
      </c>
    </row>
    <row r="314" spans="31:33" x14ac:dyDescent="0.2">
      <c r="AE314" s="125">
        <f t="shared" si="17"/>
        <v>-299</v>
      </c>
      <c r="AF314" s="15">
        <f t="shared" si="15"/>
        <v>300</v>
      </c>
      <c r="AG314" s="15">
        <f t="shared" si="16"/>
        <v>-1</v>
      </c>
    </row>
    <row r="315" spans="31:33" x14ac:dyDescent="0.2">
      <c r="AE315" s="125">
        <f t="shared" si="17"/>
        <v>-300</v>
      </c>
      <c r="AF315" s="15">
        <f t="shared" si="15"/>
        <v>301</v>
      </c>
      <c r="AG315" s="15">
        <f t="shared" si="16"/>
        <v>-1</v>
      </c>
    </row>
    <row r="316" spans="31:33" x14ac:dyDescent="0.2">
      <c r="AE316" s="125">
        <f t="shared" si="17"/>
        <v>-301</v>
      </c>
      <c r="AF316" s="15">
        <f t="shared" si="15"/>
        <v>302</v>
      </c>
      <c r="AG316" s="15">
        <f t="shared" si="16"/>
        <v>-1</v>
      </c>
    </row>
    <row r="317" spans="31:33" x14ac:dyDescent="0.2">
      <c r="AE317" s="125">
        <f t="shared" si="17"/>
        <v>-302</v>
      </c>
      <c r="AF317" s="15">
        <f t="shared" si="15"/>
        <v>303</v>
      </c>
      <c r="AG317" s="15">
        <f t="shared" si="16"/>
        <v>-1</v>
      </c>
    </row>
    <row r="318" spans="31:33" x14ac:dyDescent="0.2">
      <c r="AE318" s="125">
        <f t="shared" si="17"/>
        <v>-303</v>
      </c>
      <c r="AF318" s="15">
        <f t="shared" si="15"/>
        <v>304</v>
      </c>
      <c r="AG318" s="15">
        <f t="shared" si="16"/>
        <v>-1</v>
      </c>
    </row>
    <row r="319" spans="31:33" x14ac:dyDescent="0.2">
      <c r="AE319" s="125">
        <f t="shared" si="17"/>
        <v>-304</v>
      </c>
      <c r="AF319" s="15">
        <f t="shared" si="15"/>
        <v>305</v>
      </c>
      <c r="AG319" s="15">
        <f t="shared" si="16"/>
        <v>-1</v>
      </c>
    </row>
    <row r="320" spans="31:33" x14ac:dyDescent="0.2">
      <c r="AE320" s="125">
        <f t="shared" si="17"/>
        <v>-305</v>
      </c>
      <c r="AF320" s="15">
        <f t="shared" si="15"/>
        <v>306</v>
      </c>
      <c r="AG320" s="15">
        <f t="shared" si="16"/>
        <v>-1</v>
      </c>
    </row>
    <row r="321" spans="31:33" x14ac:dyDescent="0.2">
      <c r="AE321" s="125">
        <f t="shared" si="17"/>
        <v>-306</v>
      </c>
      <c r="AF321" s="15">
        <f t="shared" si="15"/>
        <v>307</v>
      </c>
      <c r="AG321" s="15">
        <f t="shared" si="16"/>
        <v>-1</v>
      </c>
    </row>
    <row r="322" spans="31:33" x14ac:dyDescent="0.2">
      <c r="AE322" s="125">
        <f t="shared" si="17"/>
        <v>-307</v>
      </c>
      <c r="AF322" s="15">
        <f t="shared" si="15"/>
        <v>308</v>
      </c>
      <c r="AG322" s="15">
        <f t="shared" si="16"/>
        <v>-1</v>
      </c>
    </row>
    <row r="323" spans="31:33" x14ac:dyDescent="0.2">
      <c r="AE323" s="125">
        <f t="shared" si="17"/>
        <v>-308</v>
      </c>
      <c r="AF323" s="15">
        <f t="shared" si="15"/>
        <v>309</v>
      </c>
      <c r="AG323" s="15">
        <f t="shared" si="16"/>
        <v>-1</v>
      </c>
    </row>
    <row r="324" spans="31:33" x14ac:dyDescent="0.2">
      <c r="AE324" s="125">
        <f t="shared" si="17"/>
        <v>-309</v>
      </c>
      <c r="AF324" s="15">
        <f t="shared" ref="AF324:AF387" si="18">IF(AF323&gt;=1,AF323+1,IF(AE324=0,1,-1))</f>
        <v>310</v>
      </c>
      <c r="AG324" s="15">
        <f t="shared" ref="AG324:AG387" si="19">IF(AND(AG323&gt;=1,AG323&lt;$AD$3),AG323+1,IF(AE324=0,1,-1))</f>
        <v>-1</v>
      </c>
    </row>
    <row r="325" spans="31:33" x14ac:dyDescent="0.2">
      <c r="AE325" s="125">
        <f t="shared" ref="AE325:AE388" si="20">AE324-1</f>
        <v>-310</v>
      </c>
      <c r="AF325" s="15">
        <f t="shared" si="18"/>
        <v>311</v>
      </c>
      <c r="AG325" s="15">
        <f t="shared" si="19"/>
        <v>-1</v>
      </c>
    </row>
    <row r="326" spans="31:33" x14ac:dyDescent="0.2">
      <c r="AE326" s="125">
        <f t="shared" si="20"/>
        <v>-311</v>
      </c>
      <c r="AF326" s="15">
        <f t="shared" si="18"/>
        <v>312</v>
      </c>
      <c r="AG326" s="15">
        <f t="shared" si="19"/>
        <v>-1</v>
      </c>
    </row>
    <row r="327" spans="31:33" x14ac:dyDescent="0.2">
      <c r="AE327" s="125">
        <f t="shared" si="20"/>
        <v>-312</v>
      </c>
      <c r="AF327" s="15">
        <f t="shared" si="18"/>
        <v>313</v>
      </c>
      <c r="AG327" s="15">
        <f t="shared" si="19"/>
        <v>-1</v>
      </c>
    </row>
    <row r="328" spans="31:33" x14ac:dyDescent="0.2">
      <c r="AE328" s="125">
        <f t="shared" si="20"/>
        <v>-313</v>
      </c>
      <c r="AF328" s="15">
        <f t="shared" si="18"/>
        <v>314</v>
      </c>
      <c r="AG328" s="15">
        <f t="shared" si="19"/>
        <v>-1</v>
      </c>
    </row>
    <row r="329" spans="31:33" x14ac:dyDescent="0.2">
      <c r="AE329" s="125">
        <f t="shared" si="20"/>
        <v>-314</v>
      </c>
      <c r="AF329" s="15">
        <f t="shared" si="18"/>
        <v>315</v>
      </c>
      <c r="AG329" s="15">
        <f t="shared" si="19"/>
        <v>-1</v>
      </c>
    </row>
    <row r="330" spans="31:33" x14ac:dyDescent="0.2">
      <c r="AE330" s="125">
        <f t="shared" si="20"/>
        <v>-315</v>
      </c>
      <c r="AF330" s="15">
        <f t="shared" si="18"/>
        <v>316</v>
      </c>
      <c r="AG330" s="15">
        <f t="shared" si="19"/>
        <v>-1</v>
      </c>
    </row>
    <row r="331" spans="31:33" x14ac:dyDescent="0.2">
      <c r="AE331" s="125">
        <f t="shared" si="20"/>
        <v>-316</v>
      </c>
      <c r="AF331" s="15">
        <f t="shared" si="18"/>
        <v>317</v>
      </c>
      <c r="AG331" s="15">
        <f t="shared" si="19"/>
        <v>-1</v>
      </c>
    </row>
    <row r="332" spans="31:33" x14ac:dyDescent="0.2">
      <c r="AE332" s="125">
        <f t="shared" si="20"/>
        <v>-317</v>
      </c>
      <c r="AF332" s="15">
        <f t="shared" si="18"/>
        <v>318</v>
      </c>
      <c r="AG332" s="15">
        <f t="shared" si="19"/>
        <v>-1</v>
      </c>
    </row>
    <row r="333" spans="31:33" x14ac:dyDescent="0.2">
      <c r="AE333" s="125">
        <f t="shared" si="20"/>
        <v>-318</v>
      </c>
      <c r="AF333" s="15">
        <f t="shared" si="18"/>
        <v>319</v>
      </c>
      <c r="AG333" s="15">
        <f t="shared" si="19"/>
        <v>-1</v>
      </c>
    </row>
    <row r="334" spans="31:33" x14ac:dyDescent="0.2">
      <c r="AE334" s="125">
        <f t="shared" si="20"/>
        <v>-319</v>
      </c>
      <c r="AF334" s="15">
        <f t="shared" si="18"/>
        <v>320</v>
      </c>
      <c r="AG334" s="15">
        <f t="shared" si="19"/>
        <v>-1</v>
      </c>
    </row>
    <row r="335" spans="31:33" x14ac:dyDescent="0.2">
      <c r="AE335" s="125">
        <f t="shared" si="20"/>
        <v>-320</v>
      </c>
      <c r="AF335" s="15">
        <f t="shared" si="18"/>
        <v>321</v>
      </c>
      <c r="AG335" s="15">
        <f t="shared" si="19"/>
        <v>-1</v>
      </c>
    </row>
    <row r="336" spans="31:33" x14ac:dyDescent="0.2">
      <c r="AE336" s="125">
        <f t="shared" si="20"/>
        <v>-321</v>
      </c>
      <c r="AF336" s="15">
        <f t="shared" si="18"/>
        <v>322</v>
      </c>
      <c r="AG336" s="15">
        <f t="shared" si="19"/>
        <v>-1</v>
      </c>
    </row>
    <row r="337" spans="31:33" x14ac:dyDescent="0.2">
      <c r="AE337" s="125">
        <f t="shared" si="20"/>
        <v>-322</v>
      </c>
      <c r="AF337" s="15">
        <f t="shared" si="18"/>
        <v>323</v>
      </c>
      <c r="AG337" s="15">
        <f t="shared" si="19"/>
        <v>-1</v>
      </c>
    </row>
    <row r="338" spans="31:33" x14ac:dyDescent="0.2">
      <c r="AE338" s="125">
        <f t="shared" si="20"/>
        <v>-323</v>
      </c>
      <c r="AF338" s="15">
        <f t="shared" si="18"/>
        <v>324</v>
      </c>
      <c r="AG338" s="15">
        <f t="shared" si="19"/>
        <v>-1</v>
      </c>
    </row>
    <row r="339" spans="31:33" x14ac:dyDescent="0.2">
      <c r="AE339" s="125">
        <f t="shared" si="20"/>
        <v>-324</v>
      </c>
      <c r="AF339" s="15">
        <f t="shared" si="18"/>
        <v>325</v>
      </c>
      <c r="AG339" s="15">
        <f t="shared" si="19"/>
        <v>-1</v>
      </c>
    </row>
    <row r="340" spans="31:33" x14ac:dyDescent="0.2">
      <c r="AE340" s="125">
        <f t="shared" si="20"/>
        <v>-325</v>
      </c>
      <c r="AF340" s="15">
        <f t="shared" si="18"/>
        <v>326</v>
      </c>
      <c r="AG340" s="15">
        <f t="shared" si="19"/>
        <v>-1</v>
      </c>
    </row>
    <row r="341" spans="31:33" x14ac:dyDescent="0.2">
      <c r="AE341" s="125">
        <f t="shared" si="20"/>
        <v>-326</v>
      </c>
      <c r="AF341" s="15">
        <f t="shared" si="18"/>
        <v>327</v>
      </c>
      <c r="AG341" s="15">
        <f t="shared" si="19"/>
        <v>-1</v>
      </c>
    </row>
    <row r="342" spans="31:33" x14ac:dyDescent="0.2">
      <c r="AE342" s="125">
        <f t="shared" si="20"/>
        <v>-327</v>
      </c>
      <c r="AF342" s="15">
        <f t="shared" si="18"/>
        <v>328</v>
      </c>
      <c r="AG342" s="15">
        <f t="shared" si="19"/>
        <v>-1</v>
      </c>
    </row>
    <row r="343" spans="31:33" x14ac:dyDescent="0.2">
      <c r="AE343" s="125">
        <f t="shared" si="20"/>
        <v>-328</v>
      </c>
      <c r="AF343" s="15">
        <f t="shared" si="18"/>
        <v>329</v>
      </c>
      <c r="AG343" s="15">
        <f t="shared" si="19"/>
        <v>-1</v>
      </c>
    </row>
    <row r="344" spans="31:33" x14ac:dyDescent="0.2">
      <c r="AE344" s="125">
        <f t="shared" si="20"/>
        <v>-329</v>
      </c>
      <c r="AF344" s="15">
        <f t="shared" si="18"/>
        <v>330</v>
      </c>
      <c r="AG344" s="15">
        <f t="shared" si="19"/>
        <v>-1</v>
      </c>
    </row>
    <row r="345" spans="31:33" x14ac:dyDescent="0.2">
      <c r="AE345" s="125">
        <f t="shared" si="20"/>
        <v>-330</v>
      </c>
      <c r="AF345" s="15">
        <f t="shared" si="18"/>
        <v>331</v>
      </c>
      <c r="AG345" s="15">
        <f t="shared" si="19"/>
        <v>-1</v>
      </c>
    </row>
    <row r="346" spans="31:33" x14ac:dyDescent="0.2">
      <c r="AE346" s="125">
        <f t="shared" si="20"/>
        <v>-331</v>
      </c>
      <c r="AF346" s="15">
        <f t="shared" si="18"/>
        <v>332</v>
      </c>
      <c r="AG346" s="15">
        <f t="shared" si="19"/>
        <v>-1</v>
      </c>
    </row>
    <row r="347" spans="31:33" x14ac:dyDescent="0.2">
      <c r="AE347" s="125">
        <f t="shared" si="20"/>
        <v>-332</v>
      </c>
      <c r="AF347" s="15">
        <f t="shared" si="18"/>
        <v>333</v>
      </c>
      <c r="AG347" s="15">
        <f t="shared" si="19"/>
        <v>-1</v>
      </c>
    </row>
    <row r="348" spans="31:33" x14ac:dyDescent="0.2">
      <c r="AE348" s="125">
        <f t="shared" si="20"/>
        <v>-333</v>
      </c>
      <c r="AF348" s="15">
        <f t="shared" si="18"/>
        <v>334</v>
      </c>
      <c r="AG348" s="15">
        <f t="shared" si="19"/>
        <v>-1</v>
      </c>
    </row>
    <row r="349" spans="31:33" x14ac:dyDescent="0.2">
      <c r="AE349" s="125">
        <f t="shared" si="20"/>
        <v>-334</v>
      </c>
      <c r="AF349" s="15">
        <f t="shared" si="18"/>
        <v>335</v>
      </c>
      <c r="AG349" s="15">
        <f t="shared" si="19"/>
        <v>-1</v>
      </c>
    </row>
    <row r="350" spans="31:33" x14ac:dyDescent="0.2">
      <c r="AE350" s="125">
        <f t="shared" si="20"/>
        <v>-335</v>
      </c>
      <c r="AF350" s="15">
        <f t="shared" si="18"/>
        <v>336</v>
      </c>
      <c r="AG350" s="15">
        <f t="shared" si="19"/>
        <v>-1</v>
      </c>
    </row>
    <row r="351" spans="31:33" x14ac:dyDescent="0.2">
      <c r="AE351" s="125">
        <f t="shared" si="20"/>
        <v>-336</v>
      </c>
      <c r="AF351" s="15">
        <f t="shared" si="18"/>
        <v>337</v>
      </c>
      <c r="AG351" s="15">
        <f t="shared" si="19"/>
        <v>-1</v>
      </c>
    </row>
    <row r="352" spans="31:33" x14ac:dyDescent="0.2">
      <c r="AE352" s="125">
        <f t="shared" si="20"/>
        <v>-337</v>
      </c>
      <c r="AF352" s="15">
        <f t="shared" si="18"/>
        <v>338</v>
      </c>
      <c r="AG352" s="15">
        <f t="shared" si="19"/>
        <v>-1</v>
      </c>
    </row>
    <row r="353" spans="31:33" x14ac:dyDescent="0.2">
      <c r="AE353" s="125">
        <f t="shared" si="20"/>
        <v>-338</v>
      </c>
      <c r="AF353" s="15">
        <f t="shared" si="18"/>
        <v>339</v>
      </c>
      <c r="AG353" s="15">
        <f t="shared" si="19"/>
        <v>-1</v>
      </c>
    </row>
    <row r="354" spans="31:33" x14ac:dyDescent="0.2">
      <c r="AE354" s="125">
        <f t="shared" si="20"/>
        <v>-339</v>
      </c>
      <c r="AF354" s="15">
        <f t="shared" si="18"/>
        <v>340</v>
      </c>
      <c r="AG354" s="15">
        <f t="shared" si="19"/>
        <v>-1</v>
      </c>
    </row>
    <row r="355" spans="31:33" x14ac:dyDescent="0.2">
      <c r="AE355" s="125">
        <f t="shared" si="20"/>
        <v>-340</v>
      </c>
      <c r="AF355" s="15">
        <f t="shared" si="18"/>
        <v>341</v>
      </c>
      <c r="AG355" s="15">
        <f t="shared" si="19"/>
        <v>-1</v>
      </c>
    </row>
    <row r="356" spans="31:33" x14ac:dyDescent="0.2">
      <c r="AE356" s="125">
        <f t="shared" si="20"/>
        <v>-341</v>
      </c>
      <c r="AF356" s="15">
        <f t="shared" si="18"/>
        <v>342</v>
      </c>
      <c r="AG356" s="15">
        <f t="shared" si="19"/>
        <v>-1</v>
      </c>
    </row>
    <row r="357" spans="31:33" x14ac:dyDescent="0.2">
      <c r="AE357" s="125">
        <f t="shared" si="20"/>
        <v>-342</v>
      </c>
      <c r="AF357" s="15">
        <f t="shared" si="18"/>
        <v>343</v>
      </c>
      <c r="AG357" s="15">
        <f t="shared" si="19"/>
        <v>-1</v>
      </c>
    </row>
    <row r="358" spans="31:33" x14ac:dyDescent="0.2">
      <c r="AE358" s="125">
        <f t="shared" si="20"/>
        <v>-343</v>
      </c>
      <c r="AF358" s="15">
        <f t="shared" si="18"/>
        <v>344</v>
      </c>
      <c r="AG358" s="15">
        <f t="shared" si="19"/>
        <v>-1</v>
      </c>
    </row>
    <row r="359" spans="31:33" x14ac:dyDescent="0.2">
      <c r="AE359" s="125">
        <f t="shared" si="20"/>
        <v>-344</v>
      </c>
      <c r="AF359" s="15">
        <f t="shared" si="18"/>
        <v>345</v>
      </c>
      <c r="AG359" s="15">
        <f t="shared" si="19"/>
        <v>-1</v>
      </c>
    </row>
    <row r="360" spans="31:33" x14ac:dyDescent="0.2">
      <c r="AE360" s="125">
        <f t="shared" si="20"/>
        <v>-345</v>
      </c>
      <c r="AF360" s="15">
        <f t="shared" si="18"/>
        <v>346</v>
      </c>
      <c r="AG360" s="15">
        <f t="shared" si="19"/>
        <v>-1</v>
      </c>
    </row>
    <row r="361" spans="31:33" x14ac:dyDescent="0.2">
      <c r="AE361" s="125">
        <f t="shared" si="20"/>
        <v>-346</v>
      </c>
      <c r="AF361" s="15">
        <f t="shared" si="18"/>
        <v>347</v>
      </c>
      <c r="AG361" s="15">
        <f t="shared" si="19"/>
        <v>-1</v>
      </c>
    </row>
    <row r="362" spans="31:33" x14ac:dyDescent="0.2">
      <c r="AE362" s="125">
        <f t="shared" si="20"/>
        <v>-347</v>
      </c>
      <c r="AF362" s="15">
        <f t="shared" si="18"/>
        <v>348</v>
      </c>
      <c r="AG362" s="15">
        <f t="shared" si="19"/>
        <v>-1</v>
      </c>
    </row>
    <row r="363" spans="31:33" x14ac:dyDescent="0.2">
      <c r="AE363" s="125">
        <f t="shared" si="20"/>
        <v>-348</v>
      </c>
      <c r="AF363" s="15">
        <f t="shared" si="18"/>
        <v>349</v>
      </c>
      <c r="AG363" s="15">
        <f t="shared" si="19"/>
        <v>-1</v>
      </c>
    </row>
    <row r="364" spans="31:33" x14ac:dyDescent="0.2">
      <c r="AE364" s="125">
        <f t="shared" si="20"/>
        <v>-349</v>
      </c>
      <c r="AF364" s="15">
        <f t="shared" si="18"/>
        <v>350</v>
      </c>
      <c r="AG364" s="15">
        <f t="shared" si="19"/>
        <v>-1</v>
      </c>
    </row>
    <row r="365" spans="31:33" x14ac:dyDescent="0.2">
      <c r="AE365" s="125">
        <f t="shared" si="20"/>
        <v>-350</v>
      </c>
      <c r="AF365" s="15">
        <f t="shared" si="18"/>
        <v>351</v>
      </c>
      <c r="AG365" s="15">
        <f t="shared" si="19"/>
        <v>-1</v>
      </c>
    </row>
    <row r="366" spans="31:33" x14ac:dyDescent="0.2">
      <c r="AE366" s="125">
        <f t="shared" si="20"/>
        <v>-351</v>
      </c>
      <c r="AF366" s="15">
        <f t="shared" si="18"/>
        <v>352</v>
      </c>
      <c r="AG366" s="15">
        <f t="shared" si="19"/>
        <v>-1</v>
      </c>
    </row>
    <row r="367" spans="31:33" x14ac:dyDescent="0.2">
      <c r="AE367" s="125">
        <f t="shared" si="20"/>
        <v>-352</v>
      </c>
      <c r="AF367" s="15">
        <f t="shared" si="18"/>
        <v>353</v>
      </c>
      <c r="AG367" s="15">
        <f t="shared" si="19"/>
        <v>-1</v>
      </c>
    </row>
    <row r="368" spans="31:33" x14ac:dyDescent="0.2">
      <c r="AE368" s="125">
        <f t="shared" si="20"/>
        <v>-353</v>
      </c>
      <c r="AF368" s="15">
        <f t="shared" si="18"/>
        <v>354</v>
      </c>
      <c r="AG368" s="15">
        <f t="shared" si="19"/>
        <v>-1</v>
      </c>
    </row>
    <row r="369" spans="31:33" x14ac:dyDescent="0.2">
      <c r="AE369" s="125">
        <f t="shared" si="20"/>
        <v>-354</v>
      </c>
      <c r="AF369" s="15">
        <f t="shared" si="18"/>
        <v>355</v>
      </c>
      <c r="AG369" s="15">
        <f t="shared" si="19"/>
        <v>-1</v>
      </c>
    </row>
    <row r="370" spans="31:33" x14ac:dyDescent="0.2">
      <c r="AE370" s="125">
        <f t="shared" si="20"/>
        <v>-355</v>
      </c>
      <c r="AF370" s="15">
        <f t="shared" si="18"/>
        <v>356</v>
      </c>
      <c r="AG370" s="15">
        <f t="shared" si="19"/>
        <v>-1</v>
      </c>
    </row>
    <row r="371" spans="31:33" x14ac:dyDescent="0.2">
      <c r="AE371" s="125">
        <f t="shared" si="20"/>
        <v>-356</v>
      </c>
      <c r="AF371" s="15">
        <f t="shared" si="18"/>
        <v>357</v>
      </c>
      <c r="AG371" s="15">
        <f t="shared" si="19"/>
        <v>-1</v>
      </c>
    </row>
    <row r="372" spans="31:33" x14ac:dyDescent="0.2">
      <c r="AE372" s="125">
        <f t="shared" si="20"/>
        <v>-357</v>
      </c>
      <c r="AF372" s="15">
        <f t="shared" si="18"/>
        <v>358</v>
      </c>
      <c r="AG372" s="15">
        <f t="shared" si="19"/>
        <v>-1</v>
      </c>
    </row>
    <row r="373" spans="31:33" x14ac:dyDescent="0.2">
      <c r="AE373" s="125">
        <f t="shared" si="20"/>
        <v>-358</v>
      </c>
      <c r="AF373" s="15">
        <f t="shared" si="18"/>
        <v>359</v>
      </c>
      <c r="AG373" s="15">
        <f t="shared" si="19"/>
        <v>-1</v>
      </c>
    </row>
    <row r="374" spans="31:33" x14ac:dyDescent="0.2">
      <c r="AE374" s="125">
        <f t="shared" si="20"/>
        <v>-359</v>
      </c>
      <c r="AF374" s="15">
        <f t="shared" si="18"/>
        <v>360</v>
      </c>
      <c r="AG374" s="15">
        <f t="shared" si="19"/>
        <v>-1</v>
      </c>
    </row>
    <row r="375" spans="31:33" x14ac:dyDescent="0.2">
      <c r="AE375" s="125">
        <f t="shared" si="20"/>
        <v>-360</v>
      </c>
      <c r="AF375" s="15">
        <f t="shared" si="18"/>
        <v>361</v>
      </c>
      <c r="AG375" s="15">
        <f t="shared" si="19"/>
        <v>-1</v>
      </c>
    </row>
    <row r="376" spans="31:33" x14ac:dyDescent="0.2">
      <c r="AE376" s="125">
        <f t="shared" si="20"/>
        <v>-361</v>
      </c>
      <c r="AF376" s="15">
        <f t="shared" si="18"/>
        <v>362</v>
      </c>
      <c r="AG376" s="15">
        <f t="shared" si="19"/>
        <v>-1</v>
      </c>
    </row>
    <row r="377" spans="31:33" x14ac:dyDescent="0.2">
      <c r="AE377" s="125">
        <f t="shared" si="20"/>
        <v>-362</v>
      </c>
      <c r="AF377" s="15">
        <f t="shared" si="18"/>
        <v>363</v>
      </c>
      <c r="AG377" s="15">
        <f t="shared" si="19"/>
        <v>-1</v>
      </c>
    </row>
    <row r="378" spans="31:33" x14ac:dyDescent="0.2">
      <c r="AE378" s="125">
        <f t="shared" si="20"/>
        <v>-363</v>
      </c>
      <c r="AF378" s="15">
        <f t="shared" si="18"/>
        <v>364</v>
      </c>
      <c r="AG378" s="15">
        <f t="shared" si="19"/>
        <v>-1</v>
      </c>
    </row>
    <row r="379" spans="31:33" x14ac:dyDescent="0.2">
      <c r="AE379" s="125">
        <f t="shared" si="20"/>
        <v>-364</v>
      </c>
      <c r="AF379" s="15">
        <f t="shared" si="18"/>
        <v>365</v>
      </c>
      <c r="AG379" s="15">
        <f t="shared" si="19"/>
        <v>-1</v>
      </c>
    </row>
    <row r="380" spans="31:33" x14ac:dyDescent="0.2">
      <c r="AE380" s="125">
        <f t="shared" si="20"/>
        <v>-365</v>
      </c>
      <c r="AF380" s="15">
        <f t="shared" si="18"/>
        <v>366</v>
      </c>
      <c r="AG380" s="15">
        <f t="shared" si="19"/>
        <v>-1</v>
      </c>
    </row>
    <row r="381" spans="31:33" x14ac:dyDescent="0.2">
      <c r="AE381" s="125">
        <f t="shared" si="20"/>
        <v>-366</v>
      </c>
      <c r="AF381" s="15">
        <f t="shared" si="18"/>
        <v>367</v>
      </c>
      <c r="AG381" s="15">
        <f t="shared" si="19"/>
        <v>-1</v>
      </c>
    </row>
    <row r="382" spans="31:33" x14ac:dyDescent="0.2">
      <c r="AE382" s="125">
        <f t="shared" si="20"/>
        <v>-367</v>
      </c>
      <c r="AF382" s="15">
        <f t="shared" si="18"/>
        <v>368</v>
      </c>
      <c r="AG382" s="15">
        <f t="shared" si="19"/>
        <v>-1</v>
      </c>
    </row>
    <row r="383" spans="31:33" x14ac:dyDescent="0.2">
      <c r="AE383" s="125">
        <f t="shared" si="20"/>
        <v>-368</v>
      </c>
      <c r="AF383" s="15">
        <f t="shared" si="18"/>
        <v>369</v>
      </c>
      <c r="AG383" s="15">
        <f t="shared" si="19"/>
        <v>-1</v>
      </c>
    </row>
    <row r="384" spans="31:33" x14ac:dyDescent="0.2">
      <c r="AE384" s="125">
        <f t="shared" si="20"/>
        <v>-369</v>
      </c>
      <c r="AF384" s="15">
        <f t="shared" si="18"/>
        <v>370</v>
      </c>
      <c r="AG384" s="15">
        <f t="shared" si="19"/>
        <v>-1</v>
      </c>
    </row>
    <row r="385" spans="31:33" x14ac:dyDescent="0.2">
      <c r="AE385" s="125">
        <f t="shared" si="20"/>
        <v>-370</v>
      </c>
      <c r="AF385" s="15">
        <f t="shared" si="18"/>
        <v>371</v>
      </c>
      <c r="AG385" s="15">
        <f t="shared" si="19"/>
        <v>-1</v>
      </c>
    </row>
    <row r="386" spans="31:33" x14ac:dyDescent="0.2">
      <c r="AE386" s="125">
        <f t="shared" si="20"/>
        <v>-371</v>
      </c>
      <c r="AF386" s="15">
        <f t="shared" si="18"/>
        <v>372</v>
      </c>
      <c r="AG386" s="15">
        <f t="shared" si="19"/>
        <v>-1</v>
      </c>
    </row>
    <row r="387" spans="31:33" x14ac:dyDescent="0.2">
      <c r="AE387" s="125">
        <f t="shared" si="20"/>
        <v>-372</v>
      </c>
      <c r="AF387" s="15">
        <f t="shared" si="18"/>
        <v>373</v>
      </c>
      <c r="AG387" s="15">
        <f t="shared" si="19"/>
        <v>-1</v>
      </c>
    </row>
    <row r="388" spans="31:33" x14ac:dyDescent="0.2">
      <c r="AE388" s="125">
        <f t="shared" si="20"/>
        <v>-373</v>
      </c>
      <c r="AF388" s="15">
        <f t="shared" ref="AF388:AF451" si="21">IF(AF387&gt;=1,AF387+1,IF(AE388=0,1,-1))</f>
        <v>374</v>
      </c>
      <c r="AG388" s="15">
        <f t="shared" ref="AG388:AG451" si="22">IF(AND(AG387&gt;=1,AG387&lt;$AD$3),AG387+1,IF(AE388=0,1,-1))</f>
        <v>-1</v>
      </c>
    </row>
    <row r="389" spans="31:33" x14ac:dyDescent="0.2">
      <c r="AE389" s="125">
        <f t="shared" ref="AE389:AE452" si="23">AE388-1</f>
        <v>-374</v>
      </c>
      <c r="AF389" s="15">
        <f t="shared" si="21"/>
        <v>375</v>
      </c>
      <c r="AG389" s="15">
        <f t="shared" si="22"/>
        <v>-1</v>
      </c>
    </row>
    <row r="390" spans="31:33" x14ac:dyDescent="0.2">
      <c r="AE390" s="125">
        <f t="shared" si="23"/>
        <v>-375</v>
      </c>
      <c r="AF390" s="15">
        <f t="shared" si="21"/>
        <v>376</v>
      </c>
      <c r="AG390" s="15">
        <f t="shared" si="22"/>
        <v>-1</v>
      </c>
    </row>
    <row r="391" spans="31:33" x14ac:dyDescent="0.2">
      <c r="AE391" s="125">
        <f t="shared" si="23"/>
        <v>-376</v>
      </c>
      <c r="AF391" s="15">
        <f t="shared" si="21"/>
        <v>377</v>
      </c>
      <c r="AG391" s="15">
        <f t="shared" si="22"/>
        <v>-1</v>
      </c>
    </row>
    <row r="392" spans="31:33" x14ac:dyDescent="0.2">
      <c r="AE392" s="125">
        <f t="shared" si="23"/>
        <v>-377</v>
      </c>
      <c r="AF392" s="15">
        <f t="shared" si="21"/>
        <v>378</v>
      </c>
      <c r="AG392" s="15">
        <f t="shared" si="22"/>
        <v>-1</v>
      </c>
    </row>
    <row r="393" spans="31:33" x14ac:dyDescent="0.2">
      <c r="AE393" s="125">
        <f t="shared" si="23"/>
        <v>-378</v>
      </c>
      <c r="AF393" s="15">
        <f t="shared" si="21"/>
        <v>379</v>
      </c>
      <c r="AG393" s="15">
        <f t="shared" si="22"/>
        <v>-1</v>
      </c>
    </row>
    <row r="394" spans="31:33" x14ac:dyDescent="0.2">
      <c r="AE394" s="125">
        <f t="shared" si="23"/>
        <v>-379</v>
      </c>
      <c r="AF394" s="15">
        <f t="shared" si="21"/>
        <v>380</v>
      </c>
      <c r="AG394" s="15">
        <f t="shared" si="22"/>
        <v>-1</v>
      </c>
    </row>
    <row r="395" spans="31:33" x14ac:dyDescent="0.2">
      <c r="AE395" s="125">
        <f t="shared" si="23"/>
        <v>-380</v>
      </c>
      <c r="AF395" s="15">
        <f t="shared" si="21"/>
        <v>381</v>
      </c>
      <c r="AG395" s="15">
        <f t="shared" si="22"/>
        <v>-1</v>
      </c>
    </row>
    <row r="396" spans="31:33" x14ac:dyDescent="0.2">
      <c r="AE396" s="125">
        <f t="shared" si="23"/>
        <v>-381</v>
      </c>
      <c r="AF396" s="15">
        <f t="shared" si="21"/>
        <v>382</v>
      </c>
      <c r="AG396" s="15">
        <f t="shared" si="22"/>
        <v>-1</v>
      </c>
    </row>
    <row r="397" spans="31:33" x14ac:dyDescent="0.2">
      <c r="AE397" s="125">
        <f t="shared" si="23"/>
        <v>-382</v>
      </c>
      <c r="AF397" s="15">
        <f t="shared" si="21"/>
        <v>383</v>
      </c>
      <c r="AG397" s="15">
        <f t="shared" si="22"/>
        <v>-1</v>
      </c>
    </row>
    <row r="398" spans="31:33" x14ac:dyDescent="0.2">
      <c r="AE398" s="125">
        <f t="shared" si="23"/>
        <v>-383</v>
      </c>
      <c r="AF398" s="15">
        <f t="shared" si="21"/>
        <v>384</v>
      </c>
      <c r="AG398" s="15">
        <f t="shared" si="22"/>
        <v>-1</v>
      </c>
    </row>
    <row r="399" spans="31:33" x14ac:dyDescent="0.2">
      <c r="AE399" s="125">
        <f t="shared" si="23"/>
        <v>-384</v>
      </c>
      <c r="AF399" s="15">
        <f t="shared" si="21"/>
        <v>385</v>
      </c>
      <c r="AG399" s="15">
        <f t="shared" si="22"/>
        <v>-1</v>
      </c>
    </row>
    <row r="400" spans="31:33" x14ac:dyDescent="0.2">
      <c r="AE400" s="125">
        <f t="shared" si="23"/>
        <v>-385</v>
      </c>
      <c r="AF400" s="15">
        <f t="shared" si="21"/>
        <v>386</v>
      </c>
      <c r="AG400" s="15">
        <f t="shared" si="22"/>
        <v>-1</v>
      </c>
    </row>
    <row r="401" spans="31:33" x14ac:dyDescent="0.2">
      <c r="AE401" s="125">
        <f t="shared" si="23"/>
        <v>-386</v>
      </c>
      <c r="AF401" s="15">
        <f t="shared" si="21"/>
        <v>387</v>
      </c>
      <c r="AG401" s="15">
        <f t="shared" si="22"/>
        <v>-1</v>
      </c>
    </row>
    <row r="402" spans="31:33" x14ac:dyDescent="0.2">
      <c r="AE402" s="125">
        <f t="shared" si="23"/>
        <v>-387</v>
      </c>
      <c r="AF402" s="15">
        <f t="shared" si="21"/>
        <v>388</v>
      </c>
      <c r="AG402" s="15">
        <f t="shared" si="22"/>
        <v>-1</v>
      </c>
    </row>
    <row r="403" spans="31:33" x14ac:dyDescent="0.2">
      <c r="AE403" s="125">
        <f t="shared" si="23"/>
        <v>-388</v>
      </c>
      <c r="AF403" s="15">
        <f t="shared" si="21"/>
        <v>389</v>
      </c>
      <c r="AG403" s="15">
        <f t="shared" si="22"/>
        <v>-1</v>
      </c>
    </row>
    <row r="404" spans="31:33" x14ac:dyDescent="0.2">
      <c r="AE404" s="125">
        <f t="shared" si="23"/>
        <v>-389</v>
      </c>
      <c r="AF404" s="15">
        <f t="shared" si="21"/>
        <v>390</v>
      </c>
      <c r="AG404" s="15">
        <f t="shared" si="22"/>
        <v>-1</v>
      </c>
    </row>
    <row r="405" spans="31:33" x14ac:dyDescent="0.2">
      <c r="AE405" s="125">
        <f t="shared" si="23"/>
        <v>-390</v>
      </c>
      <c r="AF405" s="15">
        <f t="shared" si="21"/>
        <v>391</v>
      </c>
      <c r="AG405" s="15">
        <f t="shared" si="22"/>
        <v>-1</v>
      </c>
    </row>
    <row r="406" spans="31:33" x14ac:dyDescent="0.2">
      <c r="AE406" s="125">
        <f t="shared" si="23"/>
        <v>-391</v>
      </c>
      <c r="AF406" s="15">
        <f t="shared" si="21"/>
        <v>392</v>
      </c>
      <c r="AG406" s="15">
        <f t="shared" si="22"/>
        <v>-1</v>
      </c>
    </row>
    <row r="407" spans="31:33" x14ac:dyDescent="0.2">
      <c r="AE407" s="125">
        <f t="shared" si="23"/>
        <v>-392</v>
      </c>
      <c r="AF407" s="15">
        <f t="shared" si="21"/>
        <v>393</v>
      </c>
      <c r="AG407" s="15">
        <f t="shared" si="22"/>
        <v>-1</v>
      </c>
    </row>
    <row r="408" spans="31:33" x14ac:dyDescent="0.2">
      <c r="AE408" s="125">
        <f t="shared" si="23"/>
        <v>-393</v>
      </c>
      <c r="AF408" s="15">
        <f t="shared" si="21"/>
        <v>394</v>
      </c>
      <c r="AG408" s="15">
        <f t="shared" si="22"/>
        <v>-1</v>
      </c>
    </row>
    <row r="409" spans="31:33" x14ac:dyDescent="0.2">
      <c r="AE409" s="125">
        <f t="shared" si="23"/>
        <v>-394</v>
      </c>
      <c r="AF409" s="15">
        <f t="shared" si="21"/>
        <v>395</v>
      </c>
      <c r="AG409" s="15">
        <f t="shared" si="22"/>
        <v>-1</v>
      </c>
    </row>
    <row r="410" spans="31:33" x14ac:dyDescent="0.2">
      <c r="AE410" s="125">
        <f t="shared" si="23"/>
        <v>-395</v>
      </c>
      <c r="AF410" s="15">
        <f t="shared" si="21"/>
        <v>396</v>
      </c>
      <c r="AG410" s="15">
        <f t="shared" si="22"/>
        <v>-1</v>
      </c>
    </row>
    <row r="411" spans="31:33" x14ac:dyDescent="0.2">
      <c r="AE411" s="125">
        <f t="shared" si="23"/>
        <v>-396</v>
      </c>
      <c r="AF411" s="15">
        <f t="shared" si="21"/>
        <v>397</v>
      </c>
      <c r="AG411" s="15">
        <f t="shared" si="22"/>
        <v>-1</v>
      </c>
    </row>
    <row r="412" spans="31:33" x14ac:dyDescent="0.2">
      <c r="AE412" s="125">
        <f t="shared" si="23"/>
        <v>-397</v>
      </c>
      <c r="AF412" s="15">
        <f t="shared" si="21"/>
        <v>398</v>
      </c>
      <c r="AG412" s="15">
        <f t="shared" si="22"/>
        <v>-1</v>
      </c>
    </row>
    <row r="413" spans="31:33" x14ac:dyDescent="0.2">
      <c r="AE413" s="125">
        <f t="shared" si="23"/>
        <v>-398</v>
      </c>
      <c r="AF413" s="15">
        <f t="shared" si="21"/>
        <v>399</v>
      </c>
      <c r="AG413" s="15">
        <f t="shared" si="22"/>
        <v>-1</v>
      </c>
    </row>
    <row r="414" spans="31:33" x14ac:dyDescent="0.2">
      <c r="AE414" s="125">
        <f t="shared" si="23"/>
        <v>-399</v>
      </c>
      <c r="AF414" s="15">
        <f t="shared" si="21"/>
        <v>400</v>
      </c>
      <c r="AG414" s="15">
        <f t="shared" si="22"/>
        <v>-1</v>
      </c>
    </row>
    <row r="415" spans="31:33" x14ac:dyDescent="0.2">
      <c r="AE415" s="125">
        <f t="shared" si="23"/>
        <v>-400</v>
      </c>
      <c r="AF415" s="15">
        <f t="shared" si="21"/>
        <v>401</v>
      </c>
      <c r="AG415" s="15">
        <f t="shared" si="22"/>
        <v>-1</v>
      </c>
    </row>
    <row r="416" spans="31:33" x14ac:dyDescent="0.2">
      <c r="AE416" s="125">
        <f t="shared" si="23"/>
        <v>-401</v>
      </c>
      <c r="AF416" s="15">
        <f t="shared" si="21"/>
        <v>402</v>
      </c>
      <c r="AG416" s="15">
        <f t="shared" si="22"/>
        <v>-1</v>
      </c>
    </row>
    <row r="417" spans="31:33" x14ac:dyDescent="0.2">
      <c r="AE417" s="125">
        <f t="shared" si="23"/>
        <v>-402</v>
      </c>
      <c r="AF417" s="15">
        <f t="shared" si="21"/>
        <v>403</v>
      </c>
      <c r="AG417" s="15">
        <f t="shared" si="22"/>
        <v>-1</v>
      </c>
    </row>
    <row r="418" spans="31:33" x14ac:dyDescent="0.2">
      <c r="AE418" s="125">
        <f t="shared" si="23"/>
        <v>-403</v>
      </c>
      <c r="AF418" s="15">
        <f t="shared" si="21"/>
        <v>404</v>
      </c>
      <c r="AG418" s="15">
        <f t="shared" si="22"/>
        <v>-1</v>
      </c>
    </row>
    <row r="419" spans="31:33" x14ac:dyDescent="0.2">
      <c r="AE419" s="125">
        <f t="shared" si="23"/>
        <v>-404</v>
      </c>
      <c r="AF419" s="15">
        <f t="shared" si="21"/>
        <v>405</v>
      </c>
      <c r="AG419" s="15">
        <f t="shared" si="22"/>
        <v>-1</v>
      </c>
    </row>
    <row r="420" spans="31:33" x14ac:dyDescent="0.2">
      <c r="AE420" s="125">
        <f t="shared" si="23"/>
        <v>-405</v>
      </c>
      <c r="AF420" s="15">
        <f t="shared" si="21"/>
        <v>406</v>
      </c>
      <c r="AG420" s="15">
        <f t="shared" si="22"/>
        <v>-1</v>
      </c>
    </row>
    <row r="421" spans="31:33" x14ac:dyDescent="0.2">
      <c r="AE421" s="125">
        <f t="shared" si="23"/>
        <v>-406</v>
      </c>
      <c r="AF421" s="15">
        <f t="shared" si="21"/>
        <v>407</v>
      </c>
      <c r="AG421" s="15">
        <f t="shared" si="22"/>
        <v>-1</v>
      </c>
    </row>
    <row r="422" spans="31:33" x14ac:dyDescent="0.2">
      <c r="AE422" s="125">
        <f t="shared" si="23"/>
        <v>-407</v>
      </c>
      <c r="AF422" s="15">
        <f t="shared" si="21"/>
        <v>408</v>
      </c>
      <c r="AG422" s="15">
        <f t="shared" si="22"/>
        <v>-1</v>
      </c>
    </row>
    <row r="423" spans="31:33" x14ac:dyDescent="0.2">
      <c r="AE423" s="125">
        <f t="shared" si="23"/>
        <v>-408</v>
      </c>
      <c r="AF423" s="15">
        <f t="shared" si="21"/>
        <v>409</v>
      </c>
      <c r="AG423" s="15">
        <f t="shared" si="22"/>
        <v>-1</v>
      </c>
    </row>
    <row r="424" spans="31:33" x14ac:dyDescent="0.2">
      <c r="AE424" s="125">
        <f t="shared" si="23"/>
        <v>-409</v>
      </c>
      <c r="AF424" s="15">
        <f t="shared" si="21"/>
        <v>410</v>
      </c>
      <c r="AG424" s="15">
        <f t="shared" si="22"/>
        <v>-1</v>
      </c>
    </row>
    <row r="425" spans="31:33" x14ac:dyDescent="0.2">
      <c r="AE425" s="125">
        <f t="shared" si="23"/>
        <v>-410</v>
      </c>
      <c r="AF425" s="15">
        <f t="shared" si="21"/>
        <v>411</v>
      </c>
      <c r="AG425" s="15">
        <f t="shared" si="22"/>
        <v>-1</v>
      </c>
    </row>
    <row r="426" spans="31:33" x14ac:dyDescent="0.2">
      <c r="AE426" s="125">
        <f t="shared" si="23"/>
        <v>-411</v>
      </c>
      <c r="AF426" s="15">
        <f t="shared" si="21"/>
        <v>412</v>
      </c>
      <c r="AG426" s="15">
        <f t="shared" si="22"/>
        <v>-1</v>
      </c>
    </row>
    <row r="427" spans="31:33" x14ac:dyDescent="0.2">
      <c r="AE427" s="125">
        <f t="shared" si="23"/>
        <v>-412</v>
      </c>
      <c r="AF427" s="15">
        <f t="shared" si="21"/>
        <v>413</v>
      </c>
      <c r="AG427" s="15">
        <f t="shared" si="22"/>
        <v>-1</v>
      </c>
    </row>
    <row r="428" spans="31:33" x14ac:dyDescent="0.2">
      <c r="AE428" s="125">
        <f t="shared" si="23"/>
        <v>-413</v>
      </c>
      <c r="AF428" s="15">
        <f t="shared" si="21"/>
        <v>414</v>
      </c>
      <c r="AG428" s="15">
        <f t="shared" si="22"/>
        <v>-1</v>
      </c>
    </row>
    <row r="429" spans="31:33" x14ac:dyDescent="0.2">
      <c r="AE429" s="125">
        <f t="shared" si="23"/>
        <v>-414</v>
      </c>
      <c r="AF429" s="15">
        <f t="shared" si="21"/>
        <v>415</v>
      </c>
      <c r="AG429" s="15">
        <f t="shared" si="22"/>
        <v>-1</v>
      </c>
    </row>
    <row r="430" spans="31:33" x14ac:dyDescent="0.2">
      <c r="AE430" s="125">
        <f t="shared" si="23"/>
        <v>-415</v>
      </c>
      <c r="AF430" s="15">
        <f t="shared" si="21"/>
        <v>416</v>
      </c>
      <c r="AG430" s="15">
        <f t="shared" si="22"/>
        <v>-1</v>
      </c>
    </row>
    <row r="431" spans="31:33" x14ac:dyDescent="0.2">
      <c r="AE431" s="125">
        <f t="shared" si="23"/>
        <v>-416</v>
      </c>
      <c r="AF431" s="15">
        <f t="shared" si="21"/>
        <v>417</v>
      </c>
      <c r="AG431" s="15">
        <f t="shared" si="22"/>
        <v>-1</v>
      </c>
    </row>
    <row r="432" spans="31:33" x14ac:dyDescent="0.2">
      <c r="AE432" s="125">
        <f t="shared" si="23"/>
        <v>-417</v>
      </c>
      <c r="AF432" s="15">
        <f t="shared" si="21"/>
        <v>418</v>
      </c>
      <c r="AG432" s="15">
        <f t="shared" si="22"/>
        <v>-1</v>
      </c>
    </row>
    <row r="433" spans="31:33" x14ac:dyDescent="0.2">
      <c r="AE433" s="125">
        <f t="shared" si="23"/>
        <v>-418</v>
      </c>
      <c r="AF433" s="15">
        <f t="shared" si="21"/>
        <v>419</v>
      </c>
      <c r="AG433" s="15">
        <f t="shared" si="22"/>
        <v>-1</v>
      </c>
    </row>
    <row r="434" spans="31:33" x14ac:dyDescent="0.2">
      <c r="AE434" s="125">
        <f t="shared" si="23"/>
        <v>-419</v>
      </c>
      <c r="AF434" s="15">
        <f t="shared" si="21"/>
        <v>420</v>
      </c>
      <c r="AG434" s="15">
        <f t="shared" si="22"/>
        <v>-1</v>
      </c>
    </row>
    <row r="435" spans="31:33" x14ac:dyDescent="0.2">
      <c r="AE435" s="125">
        <f t="shared" si="23"/>
        <v>-420</v>
      </c>
      <c r="AF435" s="15">
        <f t="shared" si="21"/>
        <v>421</v>
      </c>
      <c r="AG435" s="15">
        <f t="shared" si="22"/>
        <v>-1</v>
      </c>
    </row>
    <row r="436" spans="31:33" x14ac:dyDescent="0.2">
      <c r="AE436" s="125">
        <f t="shared" si="23"/>
        <v>-421</v>
      </c>
      <c r="AF436" s="15">
        <f t="shared" si="21"/>
        <v>422</v>
      </c>
      <c r="AG436" s="15">
        <f t="shared" si="22"/>
        <v>-1</v>
      </c>
    </row>
    <row r="437" spans="31:33" x14ac:dyDescent="0.2">
      <c r="AE437" s="125">
        <f t="shared" si="23"/>
        <v>-422</v>
      </c>
      <c r="AF437" s="15">
        <f t="shared" si="21"/>
        <v>423</v>
      </c>
      <c r="AG437" s="15">
        <f t="shared" si="22"/>
        <v>-1</v>
      </c>
    </row>
    <row r="438" spans="31:33" x14ac:dyDescent="0.2">
      <c r="AE438" s="125">
        <f t="shared" si="23"/>
        <v>-423</v>
      </c>
      <c r="AF438" s="15">
        <f t="shared" si="21"/>
        <v>424</v>
      </c>
      <c r="AG438" s="15">
        <f t="shared" si="22"/>
        <v>-1</v>
      </c>
    </row>
    <row r="439" spans="31:33" x14ac:dyDescent="0.2">
      <c r="AE439" s="125">
        <f t="shared" si="23"/>
        <v>-424</v>
      </c>
      <c r="AF439" s="15">
        <f t="shared" si="21"/>
        <v>425</v>
      </c>
      <c r="AG439" s="15">
        <f t="shared" si="22"/>
        <v>-1</v>
      </c>
    </row>
    <row r="440" spans="31:33" x14ac:dyDescent="0.2">
      <c r="AE440" s="125">
        <f t="shared" si="23"/>
        <v>-425</v>
      </c>
      <c r="AF440" s="15">
        <f t="shared" si="21"/>
        <v>426</v>
      </c>
      <c r="AG440" s="15">
        <f t="shared" si="22"/>
        <v>-1</v>
      </c>
    </row>
    <row r="441" spans="31:33" x14ac:dyDescent="0.2">
      <c r="AE441" s="125">
        <f t="shared" si="23"/>
        <v>-426</v>
      </c>
      <c r="AF441" s="15">
        <f t="shared" si="21"/>
        <v>427</v>
      </c>
      <c r="AG441" s="15">
        <f t="shared" si="22"/>
        <v>-1</v>
      </c>
    </row>
    <row r="442" spans="31:33" x14ac:dyDescent="0.2">
      <c r="AE442" s="125">
        <f t="shared" si="23"/>
        <v>-427</v>
      </c>
      <c r="AF442" s="15">
        <f t="shared" si="21"/>
        <v>428</v>
      </c>
      <c r="AG442" s="15">
        <f t="shared" si="22"/>
        <v>-1</v>
      </c>
    </row>
    <row r="443" spans="31:33" x14ac:dyDescent="0.2">
      <c r="AE443" s="125">
        <f t="shared" si="23"/>
        <v>-428</v>
      </c>
      <c r="AF443" s="15">
        <f t="shared" si="21"/>
        <v>429</v>
      </c>
      <c r="AG443" s="15">
        <f t="shared" si="22"/>
        <v>-1</v>
      </c>
    </row>
    <row r="444" spans="31:33" x14ac:dyDescent="0.2">
      <c r="AE444" s="125">
        <f t="shared" si="23"/>
        <v>-429</v>
      </c>
      <c r="AF444" s="15">
        <f t="shared" si="21"/>
        <v>430</v>
      </c>
      <c r="AG444" s="15">
        <f t="shared" si="22"/>
        <v>-1</v>
      </c>
    </row>
    <row r="445" spans="31:33" x14ac:dyDescent="0.2">
      <c r="AE445" s="125">
        <f t="shared" si="23"/>
        <v>-430</v>
      </c>
      <c r="AF445" s="15">
        <f t="shared" si="21"/>
        <v>431</v>
      </c>
      <c r="AG445" s="15">
        <f t="shared" si="22"/>
        <v>-1</v>
      </c>
    </row>
    <row r="446" spans="31:33" x14ac:dyDescent="0.2">
      <c r="AE446" s="125">
        <f t="shared" si="23"/>
        <v>-431</v>
      </c>
      <c r="AF446" s="15">
        <f t="shared" si="21"/>
        <v>432</v>
      </c>
      <c r="AG446" s="15">
        <f t="shared" si="22"/>
        <v>-1</v>
      </c>
    </row>
    <row r="447" spans="31:33" x14ac:dyDescent="0.2">
      <c r="AE447" s="125">
        <f t="shared" si="23"/>
        <v>-432</v>
      </c>
      <c r="AF447" s="15">
        <f t="shared" si="21"/>
        <v>433</v>
      </c>
      <c r="AG447" s="15">
        <f t="shared" si="22"/>
        <v>-1</v>
      </c>
    </row>
    <row r="448" spans="31:33" x14ac:dyDescent="0.2">
      <c r="AE448" s="125">
        <f t="shared" si="23"/>
        <v>-433</v>
      </c>
      <c r="AF448" s="15">
        <f t="shared" si="21"/>
        <v>434</v>
      </c>
      <c r="AG448" s="15">
        <f t="shared" si="22"/>
        <v>-1</v>
      </c>
    </row>
    <row r="449" spans="31:33" x14ac:dyDescent="0.2">
      <c r="AE449" s="125">
        <f t="shared" si="23"/>
        <v>-434</v>
      </c>
      <c r="AF449" s="15">
        <f t="shared" si="21"/>
        <v>435</v>
      </c>
      <c r="AG449" s="15">
        <f t="shared" si="22"/>
        <v>-1</v>
      </c>
    </row>
    <row r="450" spans="31:33" x14ac:dyDescent="0.2">
      <c r="AE450" s="125">
        <f t="shared" si="23"/>
        <v>-435</v>
      </c>
      <c r="AF450" s="15">
        <f t="shared" si="21"/>
        <v>436</v>
      </c>
      <c r="AG450" s="15">
        <f t="shared" si="22"/>
        <v>-1</v>
      </c>
    </row>
    <row r="451" spans="31:33" x14ac:dyDescent="0.2">
      <c r="AE451" s="125">
        <f t="shared" si="23"/>
        <v>-436</v>
      </c>
      <c r="AF451" s="15">
        <f t="shared" si="21"/>
        <v>437</v>
      </c>
      <c r="AG451" s="15">
        <f t="shared" si="22"/>
        <v>-1</v>
      </c>
    </row>
    <row r="452" spans="31:33" x14ac:dyDescent="0.2">
      <c r="AE452" s="125">
        <f t="shared" si="23"/>
        <v>-437</v>
      </c>
      <c r="AF452" s="15">
        <f t="shared" ref="AF452:AF515" si="24">IF(AF451&gt;=1,AF451+1,IF(AE452=0,1,-1))</f>
        <v>438</v>
      </c>
      <c r="AG452" s="15">
        <f t="shared" ref="AG452:AG515" si="25">IF(AND(AG451&gt;=1,AG451&lt;$AD$3),AG451+1,IF(AE452=0,1,-1))</f>
        <v>-1</v>
      </c>
    </row>
    <row r="453" spans="31:33" x14ac:dyDescent="0.2">
      <c r="AE453" s="125">
        <f t="shared" ref="AE453:AE516" si="26">AE452-1</f>
        <v>-438</v>
      </c>
      <c r="AF453" s="15">
        <f t="shared" si="24"/>
        <v>439</v>
      </c>
      <c r="AG453" s="15">
        <f t="shared" si="25"/>
        <v>-1</v>
      </c>
    </row>
    <row r="454" spans="31:33" x14ac:dyDescent="0.2">
      <c r="AE454" s="125">
        <f t="shared" si="26"/>
        <v>-439</v>
      </c>
      <c r="AF454" s="15">
        <f t="shared" si="24"/>
        <v>440</v>
      </c>
      <c r="AG454" s="15">
        <f t="shared" si="25"/>
        <v>-1</v>
      </c>
    </row>
    <row r="455" spans="31:33" x14ac:dyDescent="0.2">
      <c r="AE455" s="125">
        <f t="shared" si="26"/>
        <v>-440</v>
      </c>
      <c r="AF455" s="15">
        <f t="shared" si="24"/>
        <v>441</v>
      </c>
      <c r="AG455" s="15">
        <f t="shared" si="25"/>
        <v>-1</v>
      </c>
    </row>
    <row r="456" spans="31:33" x14ac:dyDescent="0.2">
      <c r="AE456" s="125">
        <f t="shared" si="26"/>
        <v>-441</v>
      </c>
      <c r="AF456" s="15">
        <f t="shared" si="24"/>
        <v>442</v>
      </c>
      <c r="AG456" s="15">
        <f t="shared" si="25"/>
        <v>-1</v>
      </c>
    </row>
    <row r="457" spans="31:33" x14ac:dyDescent="0.2">
      <c r="AE457" s="125">
        <f t="shared" si="26"/>
        <v>-442</v>
      </c>
      <c r="AF457" s="15">
        <f t="shared" si="24"/>
        <v>443</v>
      </c>
      <c r="AG457" s="15">
        <f t="shared" si="25"/>
        <v>-1</v>
      </c>
    </row>
    <row r="458" spans="31:33" x14ac:dyDescent="0.2">
      <c r="AE458" s="125">
        <f t="shared" si="26"/>
        <v>-443</v>
      </c>
      <c r="AF458" s="15">
        <f t="shared" si="24"/>
        <v>444</v>
      </c>
      <c r="AG458" s="15">
        <f t="shared" si="25"/>
        <v>-1</v>
      </c>
    </row>
    <row r="459" spans="31:33" x14ac:dyDescent="0.2">
      <c r="AE459" s="125">
        <f t="shared" si="26"/>
        <v>-444</v>
      </c>
      <c r="AF459" s="15">
        <f t="shared" si="24"/>
        <v>445</v>
      </c>
      <c r="AG459" s="15">
        <f t="shared" si="25"/>
        <v>-1</v>
      </c>
    </row>
    <row r="460" spans="31:33" x14ac:dyDescent="0.2">
      <c r="AE460" s="125">
        <f t="shared" si="26"/>
        <v>-445</v>
      </c>
      <c r="AF460" s="15">
        <f t="shared" si="24"/>
        <v>446</v>
      </c>
      <c r="AG460" s="15">
        <f t="shared" si="25"/>
        <v>-1</v>
      </c>
    </row>
    <row r="461" spans="31:33" x14ac:dyDescent="0.2">
      <c r="AE461" s="125">
        <f t="shared" si="26"/>
        <v>-446</v>
      </c>
      <c r="AF461" s="15">
        <f t="shared" si="24"/>
        <v>447</v>
      </c>
      <c r="AG461" s="15">
        <f t="shared" si="25"/>
        <v>-1</v>
      </c>
    </row>
    <row r="462" spans="31:33" x14ac:dyDescent="0.2">
      <c r="AE462" s="125">
        <f t="shared" si="26"/>
        <v>-447</v>
      </c>
      <c r="AF462" s="15">
        <f t="shared" si="24"/>
        <v>448</v>
      </c>
      <c r="AG462" s="15">
        <f t="shared" si="25"/>
        <v>-1</v>
      </c>
    </row>
    <row r="463" spans="31:33" x14ac:dyDescent="0.2">
      <c r="AE463" s="125">
        <f t="shared" si="26"/>
        <v>-448</v>
      </c>
      <c r="AF463" s="15">
        <f t="shared" si="24"/>
        <v>449</v>
      </c>
      <c r="AG463" s="15">
        <f t="shared" si="25"/>
        <v>-1</v>
      </c>
    </row>
    <row r="464" spans="31:33" x14ac:dyDescent="0.2">
      <c r="AE464" s="125">
        <f t="shared" si="26"/>
        <v>-449</v>
      </c>
      <c r="AF464" s="15">
        <f t="shared" si="24"/>
        <v>450</v>
      </c>
      <c r="AG464" s="15">
        <f t="shared" si="25"/>
        <v>-1</v>
      </c>
    </row>
    <row r="465" spans="31:33" x14ac:dyDescent="0.2">
      <c r="AE465" s="125">
        <f t="shared" si="26"/>
        <v>-450</v>
      </c>
      <c r="AF465" s="15">
        <f t="shared" si="24"/>
        <v>451</v>
      </c>
      <c r="AG465" s="15">
        <f t="shared" si="25"/>
        <v>-1</v>
      </c>
    </row>
    <row r="466" spans="31:33" x14ac:dyDescent="0.2">
      <c r="AE466" s="125">
        <f t="shared" si="26"/>
        <v>-451</v>
      </c>
      <c r="AF466" s="15">
        <f t="shared" si="24"/>
        <v>452</v>
      </c>
      <c r="AG466" s="15">
        <f t="shared" si="25"/>
        <v>-1</v>
      </c>
    </row>
    <row r="467" spans="31:33" x14ac:dyDescent="0.2">
      <c r="AE467" s="125">
        <f t="shared" si="26"/>
        <v>-452</v>
      </c>
      <c r="AF467" s="15">
        <f t="shared" si="24"/>
        <v>453</v>
      </c>
      <c r="AG467" s="15">
        <f t="shared" si="25"/>
        <v>-1</v>
      </c>
    </row>
    <row r="468" spans="31:33" x14ac:dyDescent="0.2">
      <c r="AE468" s="125">
        <f t="shared" si="26"/>
        <v>-453</v>
      </c>
      <c r="AF468" s="15">
        <f t="shared" si="24"/>
        <v>454</v>
      </c>
      <c r="AG468" s="15">
        <f t="shared" si="25"/>
        <v>-1</v>
      </c>
    </row>
    <row r="469" spans="31:33" x14ac:dyDescent="0.2">
      <c r="AE469" s="125">
        <f t="shared" si="26"/>
        <v>-454</v>
      </c>
      <c r="AF469" s="15">
        <f t="shared" si="24"/>
        <v>455</v>
      </c>
      <c r="AG469" s="15">
        <f t="shared" si="25"/>
        <v>-1</v>
      </c>
    </row>
    <row r="470" spans="31:33" x14ac:dyDescent="0.2">
      <c r="AE470" s="125">
        <f t="shared" si="26"/>
        <v>-455</v>
      </c>
      <c r="AF470" s="15">
        <f t="shared" si="24"/>
        <v>456</v>
      </c>
      <c r="AG470" s="15">
        <f t="shared" si="25"/>
        <v>-1</v>
      </c>
    </row>
    <row r="471" spans="31:33" x14ac:dyDescent="0.2">
      <c r="AE471" s="125">
        <f t="shared" si="26"/>
        <v>-456</v>
      </c>
      <c r="AF471" s="15">
        <f t="shared" si="24"/>
        <v>457</v>
      </c>
      <c r="AG471" s="15">
        <f t="shared" si="25"/>
        <v>-1</v>
      </c>
    </row>
    <row r="472" spans="31:33" x14ac:dyDescent="0.2">
      <c r="AE472" s="125">
        <f t="shared" si="26"/>
        <v>-457</v>
      </c>
      <c r="AF472" s="15">
        <f t="shared" si="24"/>
        <v>458</v>
      </c>
      <c r="AG472" s="15">
        <f t="shared" si="25"/>
        <v>-1</v>
      </c>
    </row>
    <row r="473" spans="31:33" x14ac:dyDescent="0.2">
      <c r="AE473" s="125">
        <f t="shared" si="26"/>
        <v>-458</v>
      </c>
      <c r="AF473" s="15">
        <f t="shared" si="24"/>
        <v>459</v>
      </c>
      <c r="AG473" s="15">
        <f t="shared" si="25"/>
        <v>-1</v>
      </c>
    </row>
    <row r="474" spans="31:33" x14ac:dyDescent="0.2">
      <c r="AE474" s="125">
        <f t="shared" si="26"/>
        <v>-459</v>
      </c>
      <c r="AF474" s="15">
        <f t="shared" si="24"/>
        <v>460</v>
      </c>
      <c r="AG474" s="15">
        <f t="shared" si="25"/>
        <v>-1</v>
      </c>
    </row>
    <row r="475" spans="31:33" x14ac:dyDescent="0.2">
      <c r="AE475" s="125">
        <f t="shared" si="26"/>
        <v>-460</v>
      </c>
      <c r="AF475" s="15">
        <f t="shared" si="24"/>
        <v>461</v>
      </c>
      <c r="AG475" s="15">
        <f t="shared" si="25"/>
        <v>-1</v>
      </c>
    </row>
    <row r="476" spans="31:33" x14ac:dyDescent="0.2">
      <c r="AE476" s="125">
        <f t="shared" si="26"/>
        <v>-461</v>
      </c>
      <c r="AF476" s="15">
        <f t="shared" si="24"/>
        <v>462</v>
      </c>
      <c r="AG476" s="15">
        <f t="shared" si="25"/>
        <v>-1</v>
      </c>
    </row>
    <row r="477" spans="31:33" x14ac:dyDescent="0.2">
      <c r="AE477" s="125">
        <f t="shared" si="26"/>
        <v>-462</v>
      </c>
      <c r="AF477" s="15">
        <f t="shared" si="24"/>
        <v>463</v>
      </c>
      <c r="AG477" s="15">
        <f t="shared" si="25"/>
        <v>-1</v>
      </c>
    </row>
    <row r="478" spans="31:33" x14ac:dyDescent="0.2">
      <c r="AE478" s="125">
        <f t="shared" si="26"/>
        <v>-463</v>
      </c>
      <c r="AF478" s="15">
        <f t="shared" si="24"/>
        <v>464</v>
      </c>
      <c r="AG478" s="15">
        <f t="shared" si="25"/>
        <v>-1</v>
      </c>
    </row>
    <row r="479" spans="31:33" x14ac:dyDescent="0.2">
      <c r="AE479" s="125">
        <f t="shared" si="26"/>
        <v>-464</v>
      </c>
      <c r="AF479" s="15">
        <f t="shared" si="24"/>
        <v>465</v>
      </c>
      <c r="AG479" s="15">
        <f t="shared" si="25"/>
        <v>-1</v>
      </c>
    </row>
    <row r="480" spans="31:33" x14ac:dyDescent="0.2">
      <c r="AE480" s="125">
        <f t="shared" si="26"/>
        <v>-465</v>
      </c>
      <c r="AF480" s="15">
        <f t="shared" si="24"/>
        <v>466</v>
      </c>
      <c r="AG480" s="15">
        <f t="shared" si="25"/>
        <v>-1</v>
      </c>
    </row>
    <row r="481" spans="31:33" x14ac:dyDescent="0.2">
      <c r="AE481" s="125">
        <f t="shared" si="26"/>
        <v>-466</v>
      </c>
      <c r="AF481" s="15">
        <f t="shared" si="24"/>
        <v>467</v>
      </c>
      <c r="AG481" s="15">
        <f t="shared" si="25"/>
        <v>-1</v>
      </c>
    </row>
    <row r="482" spans="31:33" x14ac:dyDescent="0.2">
      <c r="AE482" s="125">
        <f t="shared" si="26"/>
        <v>-467</v>
      </c>
      <c r="AF482" s="15">
        <f t="shared" si="24"/>
        <v>468</v>
      </c>
      <c r="AG482" s="15">
        <f t="shared" si="25"/>
        <v>-1</v>
      </c>
    </row>
    <row r="483" spans="31:33" x14ac:dyDescent="0.2">
      <c r="AE483" s="125">
        <f t="shared" si="26"/>
        <v>-468</v>
      </c>
      <c r="AF483" s="15">
        <f t="shared" si="24"/>
        <v>469</v>
      </c>
      <c r="AG483" s="15">
        <f t="shared" si="25"/>
        <v>-1</v>
      </c>
    </row>
    <row r="484" spans="31:33" x14ac:dyDescent="0.2">
      <c r="AE484" s="125">
        <f t="shared" si="26"/>
        <v>-469</v>
      </c>
      <c r="AF484" s="15">
        <f t="shared" si="24"/>
        <v>470</v>
      </c>
      <c r="AG484" s="15">
        <f t="shared" si="25"/>
        <v>-1</v>
      </c>
    </row>
    <row r="485" spans="31:33" x14ac:dyDescent="0.2">
      <c r="AE485" s="125">
        <f t="shared" si="26"/>
        <v>-470</v>
      </c>
      <c r="AF485" s="15">
        <f t="shared" si="24"/>
        <v>471</v>
      </c>
      <c r="AG485" s="15">
        <f t="shared" si="25"/>
        <v>-1</v>
      </c>
    </row>
    <row r="486" spans="31:33" x14ac:dyDescent="0.2">
      <c r="AE486" s="125">
        <f t="shared" si="26"/>
        <v>-471</v>
      </c>
      <c r="AF486" s="15">
        <f t="shared" si="24"/>
        <v>472</v>
      </c>
      <c r="AG486" s="15">
        <f t="shared" si="25"/>
        <v>-1</v>
      </c>
    </row>
    <row r="487" spans="31:33" x14ac:dyDescent="0.2">
      <c r="AE487" s="125">
        <f t="shared" si="26"/>
        <v>-472</v>
      </c>
      <c r="AF487" s="15">
        <f t="shared" si="24"/>
        <v>473</v>
      </c>
      <c r="AG487" s="15">
        <f t="shared" si="25"/>
        <v>-1</v>
      </c>
    </row>
    <row r="488" spans="31:33" x14ac:dyDescent="0.2">
      <c r="AE488" s="125">
        <f t="shared" si="26"/>
        <v>-473</v>
      </c>
      <c r="AF488" s="15">
        <f t="shared" si="24"/>
        <v>474</v>
      </c>
      <c r="AG488" s="15">
        <f t="shared" si="25"/>
        <v>-1</v>
      </c>
    </row>
    <row r="489" spans="31:33" x14ac:dyDescent="0.2">
      <c r="AE489" s="125">
        <f t="shared" si="26"/>
        <v>-474</v>
      </c>
      <c r="AF489" s="15">
        <f t="shared" si="24"/>
        <v>475</v>
      </c>
      <c r="AG489" s="15">
        <f t="shared" si="25"/>
        <v>-1</v>
      </c>
    </row>
    <row r="490" spans="31:33" x14ac:dyDescent="0.2">
      <c r="AE490" s="125">
        <f t="shared" si="26"/>
        <v>-475</v>
      </c>
      <c r="AF490" s="15">
        <f t="shared" si="24"/>
        <v>476</v>
      </c>
      <c r="AG490" s="15">
        <f t="shared" si="25"/>
        <v>-1</v>
      </c>
    </row>
    <row r="491" spans="31:33" x14ac:dyDescent="0.2">
      <c r="AE491" s="125">
        <f t="shared" si="26"/>
        <v>-476</v>
      </c>
      <c r="AF491" s="15">
        <f t="shared" si="24"/>
        <v>477</v>
      </c>
      <c r="AG491" s="15">
        <f t="shared" si="25"/>
        <v>-1</v>
      </c>
    </row>
    <row r="492" spans="31:33" x14ac:dyDescent="0.2">
      <c r="AE492" s="125">
        <f t="shared" si="26"/>
        <v>-477</v>
      </c>
      <c r="AF492" s="15">
        <f t="shared" si="24"/>
        <v>478</v>
      </c>
      <c r="AG492" s="15">
        <f t="shared" si="25"/>
        <v>-1</v>
      </c>
    </row>
    <row r="493" spans="31:33" x14ac:dyDescent="0.2">
      <c r="AE493" s="125">
        <f t="shared" si="26"/>
        <v>-478</v>
      </c>
      <c r="AF493" s="15">
        <f t="shared" si="24"/>
        <v>479</v>
      </c>
      <c r="AG493" s="15">
        <f t="shared" si="25"/>
        <v>-1</v>
      </c>
    </row>
    <row r="494" spans="31:33" x14ac:dyDescent="0.2">
      <c r="AE494" s="125">
        <f t="shared" si="26"/>
        <v>-479</v>
      </c>
      <c r="AF494" s="15">
        <f t="shared" si="24"/>
        <v>480</v>
      </c>
      <c r="AG494" s="15">
        <f t="shared" si="25"/>
        <v>-1</v>
      </c>
    </row>
    <row r="495" spans="31:33" x14ac:dyDescent="0.2">
      <c r="AE495" s="125">
        <f t="shared" si="26"/>
        <v>-480</v>
      </c>
      <c r="AF495" s="15">
        <f t="shared" si="24"/>
        <v>481</v>
      </c>
      <c r="AG495" s="15">
        <f t="shared" si="25"/>
        <v>-1</v>
      </c>
    </row>
    <row r="496" spans="31:33" x14ac:dyDescent="0.2">
      <c r="AE496" s="125">
        <f t="shared" si="26"/>
        <v>-481</v>
      </c>
      <c r="AF496" s="15">
        <f t="shared" si="24"/>
        <v>482</v>
      </c>
      <c r="AG496" s="15">
        <f t="shared" si="25"/>
        <v>-1</v>
      </c>
    </row>
    <row r="497" spans="31:33" x14ac:dyDescent="0.2">
      <c r="AE497" s="125">
        <f t="shared" si="26"/>
        <v>-482</v>
      </c>
      <c r="AF497" s="15">
        <f t="shared" si="24"/>
        <v>483</v>
      </c>
      <c r="AG497" s="15">
        <f t="shared" si="25"/>
        <v>-1</v>
      </c>
    </row>
    <row r="498" spans="31:33" x14ac:dyDescent="0.2">
      <c r="AE498" s="125">
        <f t="shared" si="26"/>
        <v>-483</v>
      </c>
      <c r="AF498" s="15">
        <f t="shared" si="24"/>
        <v>484</v>
      </c>
      <c r="AG498" s="15">
        <f t="shared" si="25"/>
        <v>-1</v>
      </c>
    </row>
    <row r="499" spans="31:33" x14ac:dyDescent="0.2">
      <c r="AE499" s="125">
        <f t="shared" si="26"/>
        <v>-484</v>
      </c>
      <c r="AF499" s="15">
        <f t="shared" si="24"/>
        <v>485</v>
      </c>
      <c r="AG499" s="15">
        <f t="shared" si="25"/>
        <v>-1</v>
      </c>
    </row>
    <row r="500" spans="31:33" x14ac:dyDescent="0.2">
      <c r="AE500" s="125">
        <f t="shared" si="26"/>
        <v>-485</v>
      </c>
      <c r="AF500" s="15">
        <f t="shared" si="24"/>
        <v>486</v>
      </c>
      <c r="AG500" s="15">
        <f t="shared" si="25"/>
        <v>-1</v>
      </c>
    </row>
    <row r="501" spans="31:33" x14ac:dyDescent="0.2">
      <c r="AE501" s="125">
        <f t="shared" si="26"/>
        <v>-486</v>
      </c>
      <c r="AF501" s="15">
        <f t="shared" si="24"/>
        <v>487</v>
      </c>
      <c r="AG501" s="15">
        <f t="shared" si="25"/>
        <v>-1</v>
      </c>
    </row>
    <row r="502" spans="31:33" x14ac:dyDescent="0.2">
      <c r="AE502" s="125">
        <f t="shared" si="26"/>
        <v>-487</v>
      </c>
      <c r="AF502" s="15">
        <f t="shared" si="24"/>
        <v>488</v>
      </c>
      <c r="AG502" s="15">
        <f t="shared" si="25"/>
        <v>-1</v>
      </c>
    </row>
    <row r="503" spans="31:33" x14ac:dyDescent="0.2">
      <c r="AE503" s="125">
        <f t="shared" si="26"/>
        <v>-488</v>
      </c>
      <c r="AF503" s="15">
        <f t="shared" si="24"/>
        <v>489</v>
      </c>
      <c r="AG503" s="15">
        <f t="shared" si="25"/>
        <v>-1</v>
      </c>
    </row>
    <row r="504" spans="31:33" x14ac:dyDescent="0.2">
      <c r="AE504" s="125">
        <f t="shared" si="26"/>
        <v>-489</v>
      </c>
      <c r="AF504" s="15">
        <f t="shared" si="24"/>
        <v>490</v>
      </c>
      <c r="AG504" s="15">
        <f t="shared" si="25"/>
        <v>-1</v>
      </c>
    </row>
    <row r="505" spans="31:33" x14ac:dyDescent="0.2">
      <c r="AE505" s="125">
        <f t="shared" si="26"/>
        <v>-490</v>
      </c>
      <c r="AF505" s="15">
        <f t="shared" si="24"/>
        <v>491</v>
      </c>
      <c r="AG505" s="15">
        <f t="shared" si="25"/>
        <v>-1</v>
      </c>
    </row>
    <row r="506" spans="31:33" x14ac:dyDescent="0.2">
      <c r="AE506" s="125">
        <f t="shared" si="26"/>
        <v>-491</v>
      </c>
      <c r="AF506" s="15">
        <f t="shared" si="24"/>
        <v>492</v>
      </c>
      <c r="AG506" s="15">
        <f t="shared" si="25"/>
        <v>-1</v>
      </c>
    </row>
    <row r="507" spans="31:33" x14ac:dyDescent="0.2">
      <c r="AE507" s="125">
        <f t="shared" si="26"/>
        <v>-492</v>
      </c>
      <c r="AF507" s="15">
        <f t="shared" si="24"/>
        <v>493</v>
      </c>
      <c r="AG507" s="15">
        <f t="shared" si="25"/>
        <v>-1</v>
      </c>
    </row>
    <row r="508" spans="31:33" x14ac:dyDescent="0.2">
      <c r="AE508" s="125">
        <f t="shared" si="26"/>
        <v>-493</v>
      </c>
      <c r="AF508" s="15">
        <f t="shared" si="24"/>
        <v>494</v>
      </c>
      <c r="AG508" s="15">
        <f t="shared" si="25"/>
        <v>-1</v>
      </c>
    </row>
    <row r="509" spans="31:33" x14ac:dyDescent="0.2">
      <c r="AE509" s="125">
        <f t="shared" si="26"/>
        <v>-494</v>
      </c>
      <c r="AF509" s="15">
        <f t="shared" si="24"/>
        <v>495</v>
      </c>
      <c r="AG509" s="15">
        <f t="shared" si="25"/>
        <v>-1</v>
      </c>
    </row>
    <row r="510" spans="31:33" x14ac:dyDescent="0.2">
      <c r="AE510" s="125">
        <f t="shared" si="26"/>
        <v>-495</v>
      </c>
      <c r="AF510" s="15">
        <f t="shared" si="24"/>
        <v>496</v>
      </c>
      <c r="AG510" s="15">
        <f t="shared" si="25"/>
        <v>-1</v>
      </c>
    </row>
    <row r="511" spans="31:33" x14ac:dyDescent="0.2">
      <c r="AE511" s="125">
        <f t="shared" si="26"/>
        <v>-496</v>
      </c>
      <c r="AF511" s="15">
        <f t="shared" si="24"/>
        <v>497</v>
      </c>
      <c r="AG511" s="15">
        <f t="shared" si="25"/>
        <v>-1</v>
      </c>
    </row>
    <row r="512" spans="31:33" x14ac:dyDescent="0.2">
      <c r="AE512" s="125">
        <f t="shared" si="26"/>
        <v>-497</v>
      </c>
      <c r="AF512" s="15">
        <f t="shared" si="24"/>
        <v>498</v>
      </c>
      <c r="AG512" s="15">
        <f t="shared" si="25"/>
        <v>-1</v>
      </c>
    </row>
    <row r="513" spans="31:33" x14ac:dyDescent="0.2">
      <c r="AE513" s="125">
        <f t="shared" si="26"/>
        <v>-498</v>
      </c>
      <c r="AF513" s="15">
        <f t="shared" si="24"/>
        <v>499</v>
      </c>
      <c r="AG513" s="15">
        <f t="shared" si="25"/>
        <v>-1</v>
      </c>
    </row>
    <row r="514" spans="31:33" x14ac:dyDescent="0.2">
      <c r="AE514" s="125">
        <f t="shared" si="26"/>
        <v>-499</v>
      </c>
      <c r="AF514" s="15">
        <f t="shared" si="24"/>
        <v>500</v>
      </c>
      <c r="AG514" s="15">
        <f t="shared" si="25"/>
        <v>-1</v>
      </c>
    </row>
    <row r="515" spans="31:33" x14ac:dyDescent="0.2">
      <c r="AE515" s="125">
        <f t="shared" si="26"/>
        <v>-500</v>
      </c>
      <c r="AF515" s="15">
        <f t="shared" si="24"/>
        <v>501</v>
      </c>
      <c r="AG515" s="15">
        <f t="shared" si="25"/>
        <v>-1</v>
      </c>
    </row>
    <row r="516" spans="31:33" x14ac:dyDescent="0.2">
      <c r="AE516" s="125">
        <f t="shared" si="26"/>
        <v>-501</v>
      </c>
      <c r="AF516" s="15">
        <f t="shared" ref="AF516:AF579" si="27">IF(AF515&gt;=1,AF515+1,IF(AE516=0,1,-1))</f>
        <v>502</v>
      </c>
      <c r="AG516" s="15">
        <f t="shared" ref="AG516:AG579" si="28">IF(AND(AG515&gt;=1,AG515&lt;$AD$3),AG515+1,IF(AE516=0,1,-1))</f>
        <v>-1</v>
      </c>
    </row>
    <row r="517" spans="31:33" x14ac:dyDescent="0.2">
      <c r="AE517" s="125">
        <f t="shared" ref="AE517:AE580" si="29">AE516-1</f>
        <v>-502</v>
      </c>
      <c r="AF517" s="15">
        <f t="shared" si="27"/>
        <v>503</v>
      </c>
      <c r="AG517" s="15">
        <f t="shared" si="28"/>
        <v>-1</v>
      </c>
    </row>
    <row r="518" spans="31:33" x14ac:dyDescent="0.2">
      <c r="AE518" s="125">
        <f t="shared" si="29"/>
        <v>-503</v>
      </c>
      <c r="AF518" s="15">
        <f t="shared" si="27"/>
        <v>504</v>
      </c>
      <c r="AG518" s="15">
        <f t="shared" si="28"/>
        <v>-1</v>
      </c>
    </row>
    <row r="519" spans="31:33" x14ac:dyDescent="0.2">
      <c r="AE519" s="125">
        <f t="shared" si="29"/>
        <v>-504</v>
      </c>
      <c r="AF519" s="15">
        <f t="shared" si="27"/>
        <v>505</v>
      </c>
      <c r="AG519" s="15">
        <f t="shared" si="28"/>
        <v>-1</v>
      </c>
    </row>
    <row r="520" spans="31:33" x14ac:dyDescent="0.2">
      <c r="AE520" s="125">
        <f t="shared" si="29"/>
        <v>-505</v>
      </c>
      <c r="AF520" s="15">
        <f t="shared" si="27"/>
        <v>506</v>
      </c>
      <c r="AG520" s="15">
        <f t="shared" si="28"/>
        <v>-1</v>
      </c>
    </row>
    <row r="521" spans="31:33" x14ac:dyDescent="0.2">
      <c r="AE521" s="125">
        <f t="shared" si="29"/>
        <v>-506</v>
      </c>
      <c r="AF521" s="15">
        <f t="shared" si="27"/>
        <v>507</v>
      </c>
      <c r="AG521" s="15">
        <f t="shared" si="28"/>
        <v>-1</v>
      </c>
    </row>
    <row r="522" spans="31:33" x14ac:dyDescent="0.2">
      <c r="AE522" s="125">
        <f t="shared" si="29"/>
        <v>-507</v>
      </c>
      <c r="AF522" s="15">
        <f t="shared" si="27"/>
        <v>508</v>
      </c>
      <c r="AG522" s="15">
        <f t="shared" si="28"/>
        <v>-1</v>
      </c>
    </row>
    <row r="523" spans="31:33" x14ac:dyDescent="0.2">
      <c r="AE523" s="125">
        <f t="shared" si="29"/>
        <v>-508</v>
      </c>
      <c r="AF523" s="15">
        <f t="shared" si="27"/>
        <v>509</v>
      </c>
      <c r="AG523" s="15">
        <f t="shared" si="28"/>
        <v>-1</v>
      </c>
    </row>
    <row r="524" spans="31:33" x14ac:dyDescent="0.2">
      <c r="AE524" s="125">
        <f t="shared" si="29"/>
        <v>-509</v>
      </c>
      <c r="AF524" s="15">
        <f t="shared" si="27"/>
        <v>510</v>
      </c>
      <c r="AG524" s="15">
        <f t="shared" si="28"/>
        <v>-1</v>
      </c>
    </row>
    <row r="525" spans="31:33" x14ac:dyDescent="0.2">
      <c r="AE525" s="125">
        <f t="shared" si="29"/>
        <v>-510</v>
      </c>
      <c r="AF525" s="15">
        <f t="shared" si="27"/>
        <v>511</v>
      </c>
      <c r="AG525" s="15">
        <f t="shared" si="28"/>
        <v>-1</v>
      </c>
    </row>
    <row r="526" spans="31:33" x14ac:dyDescent="0.2">
      <c r="AE526" s="125">
        <f t="shared" si="29"/>
        <v>-511</v>
      </c>
      <c r="AF526" s="15">
        <f t="shared" si="27"/>
        <v>512</v>
      </c>
      <c r="AG526" s="15">
        <f t="shared" si="28"/>
        <v>-1</v>
      </c>
    </row>
    <row r="527" spans="31:33" x14ac:dyDescent="0.2">
      <c r="AE527" s="125">
        <f t="shared" si="29"/>
        <v>-512</v>
      </c>
      <c r="AF527" s="15">
        <f t="shared" si="27"/>
        <v>513</v>
      </c>
      <c r="AG527" s="15">
        <f t="shared" si="28"/>
        <v>-1</v>
      </c>
    </row>
    <row r="528" spans="31:33" x14ac:dyDescent="0.2">
      <c r="AE528" s="125">
        <f t="shared" si="29"/>
        <v>-513</v>
      </c>
      <c r="AF528" s="15">
        <f t="shared" si="27"/>
        <v>514</v>
      </c>
      <c r="AG528" s="15">
        <f t="shared" si="28"/>
        <v>-1</v>
      </c>
    </row>
    <row r="529" spans="31:33" x14ac:dyDescent="0.2">
      <c r="AE529" s="125">
        <f t="shared" si="29"/>
        <v>-514</v>
      </c>
      <c r="AF529" s="15">
        <f t="shared" si="27"/>
        <v>515</v>
      </c>
      <c r="AG529" s="15">
        <f t="shared" si="28"/>
        <v>-1</v>
      </c>
    </row>
    <row r="530" spans="31:33" x14ac:dyDescent="0.2">
      <c r="AE530" s="125">
        <f t="shared" si="29"/>
        <v>-515</v>
      </c>
      <c r="AF530" s="15">
        <f t="shared" si="27"/>
        <v>516</v>
      </c>
      <c r="AG530" s="15">
        <f t="shared" si="28"/>
        <v>-1</v>
      </c>
    </row>
    <row r="531" spans="31:33" x14ac:dyDescent="0.2">
      <c r="AE531" s="125">
        <f t="shared" si="29"/>
        <v>-516</v>
      </c>
      <c r="AF531" s="15">
        <f t="shared" si="27"/>
        <v>517</v>
      </c>
      <c r="AG531" s="15">
        <f t="shared" si="28"/>
        <v>-1</v>
      </c>
    </row>
    <row r="532" spans="31:33" x14ac:dyDescent="0.2">
      <c r="AE532" s="125">
        <f t="shared" si="29"/>
        <v>-517</v>
      </c>
      <c r="AF532" s="15">
        <f t="shared" si="27"/>
        <v>518</v>
      </c>
      <c r="AG532" s="15">
        <f t="shared" si="28"/>
        <v>-1</v>
      </c>
    </row>
    <row r="533" spans="31:33" x14ac:dyDescent="0.2">
      <c r="AE533" s="125">
        <f t="shared" si="29"/>
        <v>-518</v>
      </c>
      <c r="AF533" s="15">
        <f t="shared" si="27"/>
        <v>519</v>
      </c>
      <c r="AG533" s="15">
        <f t="shared" si="28"/>
        <v>-1</v>
      </c>
    </row>
    <row r="534" spans="31:33" x14ac:dyDescent="0.2">
      <c r="AE534" s="125">
        <f t="shared" si="29"/>
        <v>-519</v>
      </c>
      <c r="AF534" s="15">
        <f t="shared" si="27"/>
        <v>520</v>
      </c>
      <c r="AG534" s="15">
        <f t="shared" si="28"/>
        <v>-1</v>
      </c>
    </row>
    <row r="535" spans="31:33" x14ac:dyDescent="0.2">
      <c r="AE535" s="125">
        <f t="shared" si="29"/>
        <v>-520</v>
      </c>
      <c r="AF535" s="15">
        <f t="shared" si="27"/>
        <v>521</v>
      </c>
      <c r="AG535" s="15">
        <f t="shared" si="28"/>
        <v>-1</v>
      </c>
    </row>
    <row r="536" spans="31:33" x14ac:dyDescent="0.2">
      <c r="AE536" s="125">
        <f t="shared" si="29"/>
        <v>-521</v>
      </c>
      <c r="AF536" s="15">
        <f t="shared" si="27"/>
        <v>522</v>
      </c>
      <c r="AG536" s="15">
        <f t="shared" si="28"/>
        <v>-1</v>
      </c>
    </row>
    <row r="537" spans="31:33" x14ac:dyDescent="0.2">
      <c r="AE537" s="125">
        <f t="shared" si="29"/>
        <v>-522</v>
      </c>
      <c r="AF537" s="15">
        <f t="shared" si="27"/>
        <v>523</v>
      </c>
      <c r="AG537" s="15">
        <f t="shared" si="28"/>
        <v>-1</v>
      </c>
    </row>
    <row r="538" spans="31:33" x14ac:dyDescent="0.2">
      <c r="AE538" s="125">
        <f t="shared" si="29"/>
        <v>-523</v>
      </c>
      <c r="AF538" s="15">
        <f t="shared" si="27"/>
        <v>524</v>
      </c>
      <c r="AG538" s="15">
        <f t="shared" si="28"/>
        <v>-1</v>
      </c>
    </row>
    <row r="539" spans="31:33" x14ac:dyDescent="0.2">
      <c r="AE539" s="125">
        <f t="shared" si="29"/>
        <v>-524</v>
      </c>
      <c r="AF539" s="15">
        <f t="shared" si="27"/>
        <v>525</v>
      </c>
      <c r="AG539" s="15">
        <f t="shared" si="28"/>
        <v>-1</v>
      </c>
    </row>
    <row r="540" spans="31:33" x14ac:dyDescent="0.2">
      <c r="AE540" s="125">
        <f t="shared" si="29"/>
        <v>-525</v>
      </c>
      <c r="AF540" s="15">
        <f t="shared" si="27"/>
        <v>526</v>
      </c>
      <c r="AG540" s="15">
        <f t="shared" si="28"/>
        <v>-1</v>
      </c>
    </row>
    <row r="541" spans="31:33" x14ac:dyDescent="0.2">
      <c r="AE541" s="125">
        <f t="shared" si="29"/>
        <v>-526</v>
      </c>
      <c r="AF541" s="15">
        <f t="shared" si="27"/>
        <v>527</v>
      </c>
      <c r="AG541" s="15">
        <f t="shared" si="28"/>
        <v>-1</v>
      </c>
    </row>
    <row r="542" spans="31:33" x14ac:dyDescent="0.2">
      <c r="AE542" s="125">
        <f t="shared" si="29"/>
        <v>-527</v>
      </c>
      <c r="AF542" s="15">
        <f t="shared" si="27"/>
        <v>528</v>
      </c>
      <c r="AG542" s="15">
        <f t="shared" si="28"/>
        <v>-1</v>
      </c>
    </row>
    <row r="543" spans="31:33" x14ac:dyDescent="0.2">
      <c r="AE543" s="125">
        <f t="shared" si="29"/>
        <v>-528</v>
      </c>
      <c r="AF543" s="15">
        <f t="shared" si="27"/>
        <v>529</v>
      </c>
      <c r="AG543" s="15">
        <f t="shared" si="28"/>
        <v>-1</v>
      </c>
    </row>
    <row r="544" spans="31:33" x14ac:dyDescent="0.2">
      <c r="AE544" s="125">
        <f t="shared" si="29"/>
        <v>-529</v>
      </c>
      <c r="AF544" s="15">
        <f t="shared" si="27"/>
        <v>530</v>
      </c>
      <c r="AG544" s="15">
        <f t="shared" si="28"/>
        <v>-1</v>
      </c>
    </row>
    <row r="545" spans="31:33" x14ac:dyDescent="0.2">
      <c r="AE545" s="125">
        <f t="shared" si="29"/>
        <v>-530</v>
      </c>
      <c r="AF545" s="15">
        <f t="shared" si="27"/>
        <v>531</v>
      </c>
      <c r="AG545" s="15">
        <f t="shared" si="28"/>
        <v>-1</v>
      </c>
    </row>
    <row r="546" spans="31:33" x14ac:dyDescent="0.2">
      <c r="AE546" s="125">
        <f t="shared" si="29"/>
        <v>-531</v>
      </c>
      <c r="AF546" s="15">
        <f t="shared" si="27"/>
        <v>532</v>
      </c>
      <c r="AG546" s="15">
        <f t="shared" si="28"/>
        <v>-1</v>
      </c>
    </row>
    <row r="547" spans="31:33" x14ac:dyDescent="0.2">
      <c r="AE547" s="125">
        <f t="shared" si="29"/>
        <v>-532</v>
      </c>
      <c r="AF547" s="15">
        <f t="shared" si="27"/>
        <v>533</v>
      </c>
      <c r="AG547" s="15">
        <f t="shared" si="28"/>
        <v>-1</v>
      </c>
    </row>
    <row r="548" spans="31:33" x14ac:dyDescent="0.2">
      <c r="AE548" s="125">
        <f t="shared" si="29"/>
        <v>-533</v>
      </c>
      <c r="AF548" s="15">
        <f t="shared" si="27"/>
        <v>534</v>
      </c>
      <c r="AG548" s="15">
        <f t="shared" si="28"/>
        <v>-1</v>
      </c>
    </row>
    <row r="549" spans="31:33" x14ac:dyDescent="0.2">
      <c r="AE549" s="125">
        <f t="shared" si="29"/>
        <v>-534</v>
      </c>
      <c r="AF549" s="15">
        <f t="shared" si="27"/>
        <v>535</v>
      </c>
      <c r="AG549" s="15">
        <f t="shared" si="28"/>
        <v>-1</v>
      </c>
    </row>
    <row r="550" spans="31:33" x14ac:dyDescent="0.2">
      <c r="AE550" s="125">
        <f t="shared" si="29"/>
        <v>-535</v>
      </c>
      <c r="AF550" s="15">
        <f t="shared" si="27"/>
        <v>536</v>
      </c>
      <c r="AG550" s="15">
        <f t="shared" si="28"/>
        <v>-1</v>
      </c>
    </row>
    <row r="551" spans="31:33" x14ac:dyDescent="0.2">
      <c r="AE551" s="125">
        <f t="shared" si="29"/>
        <v>-536</v>
      </c>
      <c r="AF551" s="15">
        <f t="shared" si="27"/>
        <v>537</v>
      </c>
      <c r="AG551" s="15">
        <f t="shared" si="28"/>
        <v>-1</v>
      </c>
    </row>
    <row r="552" spans="31:33" x14ac:dyDescent="0.2">
      <c r="AE552" s="125">
        <f t="shared" si="29"/>
        <v>-537</v>
      </c>
      <c r="AF552" s="15">
        <f t="shared" si="27"/>
        <v>538</v>
      </c>
      <c r="AG552" s="15">
        <f t="shared" si="28"/>
        <v>-1</v>
      </c>
    </row>
    <row r="553" spans="31:33" x14ac:dyDescent="0.2">
      <c r="AE553" s="125">
        <f t="shared" si="29"/>
        <v>-538</v>
      </c>
      <c r="AF553" s="15">
        <f t="shared" si="27"/>
        <v>539</v>
      </c>
      <c r="AG553" s="15">
        <f t="shared" si="28"/>
        <v>-1</v>
      </c>
    </row>
    <row r="554" spans="31:33" x14ac:dyDescent="0.2">
      <c r="AE554" s="125">
        <f t="shared" si="29"/>
        <v>-539</v>
      </c>
      <c r="AF554" s="15">
        <f t="shared" si="27"/>
        <v>540</v>
      </c>
      <c r="AG554" s="15">
        <f t="shared" si="28"/>
        <v>-1</v>
      </c>
    </row>
    <row r="555" spans="31:33" x14ac:dyDescent="0.2">
      <c r="AE555" s="125">
        <f t="shared" si="29"/>
        <v>-540</v>
      </c>
      <c r="AF555" s="15">
        <f t="shared" si="27"/>
        <v>541</v>
      </c>
      <c r="AG555" s="15">
        <f t="shared" si="28"/>
        <v>-1</v>
      </c>
    </row>
    <row r="556" spans="31:33" x14ac:dyDescent="0.2">
      <c r="AE556" s="125">
        <f t="shared" si="29"/>
        <v>-541</v>
      </c>
      <c r="AF556" s="15">
        <f t="shared" si="27"/>
        <v>542</v>
      </c>
      <c r="AG556" s="15">
        <f t="shared" si="28"/>
        <v>-1</v>
      </c>
    </row>
    <row r="557" spans="31:33" x14ac:dyDescent="0.2">
      <c r="AE557" s="125">
        <f t="shared" si="29"/>
        <v>-542</v>
      </c>
      <c r="AF557" s="15">
        <f t="shared" si="27"/>
        <v>543</v>
      </c>
      <c r="AG557" s="15">
        <f t="shared" si="28"/>
        <v>-1</v>
      </c>
    </row>
    <row r="558" spans="31:33" x14ac:dyDescent="0.2">
      <c r="AE558" s="125">
        <f t="shared" si="29"/>
        <v>-543</v>
      </c>
      <c r="AF558" s="15">
        <f t="shared" si="27"/>
        <v>544</v>
      </c>
      <c r="AG558" s="15">
        <f t="shared" si="28"/>
        <v>-1</v>
      </c>
    </row>
    <row r="559" spans="31:33" x14ac:dyDescent="0.2">
      <c r="AE559" s="125">
        <f t="shared" si="29"/>
        <v>-544</v>
      </c>
      <c r="AF559" s="15">
        <f t="shared" si="27"/>
        <v>545</v>
      </c>
      <c r="AG559" s="15">
        <f t="shared" si="28"/>
        <v>-1</v>
      </c>
    </row>
    <row r="560" spans="31:33" x14ac:dyDescent="0.2">
      <c r="AE560" s="125">
        <f t="shared" si="29"/>
        <v>-545</v>
      </c>
      <c r="AF560" s="15">
        <f t="shared" si="27"/>
        <v>546</v>
      </c>
      <c r="AG560" s="15">
        <f t="shared" si="28"/>
        <v>-1</v>
      </c>
    </row>
    <row r="561" spans="31:33" x14ac:dyDescent="0.2">
      <c r="AE561" s="125">
        <f t="shared" si="29"/>
        <v>-546</v>
      </c>
      <c r="AF561" s="15">
        <f t="shared" si="27"/>
        <v>547</v>
      </c>
      <c r="AG561" s="15">
        <f t="shared" si="28"/>
        <v>-1</v>
      </c>
    </row>
    <row r="562" spans="31:33" x14ac:dyDescent="0.2">
      <c r="AE562" s="125">
        <f t="shared" si="29"/>
        <v>-547</v>
      </c>
      <c r="AF562" s="15">
        <f t="shared" si="27"/>
        <v>548</v>
      </c>
      <c r="AG562" s="15">
        <f t="shared" si="28"/>
        <v>-1</v>
      </c>
    </row>
    <row r="563" spans="31:33" x14ac:dyDescent="0.2">
      <c r="AE563" s="125">
        <f t="shared" si="29"/>
        <v>-548</v>
      </c>
      <c r="AF563" s="15">
        <f t="shared" si="27"/>
        <v>549</v>
      </c>
      <c r="AG563" s="15">
        <f t="shared" si="28"/>
        <v>-1</v>
      </c>
    </row>
    <row r="564" spans="31:33" x14ac:dyDescent="0.2">
      <c r="AE564" s="125">
        <f t="shared" si="29"/>
        <v>-549</v>
      </c>
      <c r="AF564" s="15">
        <f t="shared" si="27"/>
        <v>550</v>
      </c>
      <c r="AG564" s="15">
        <f t="shared" si="28"/>
        <v>-1</v>
      </c>
    </row>
    <row r="565" spans="31:33" x14ac:dyDescent="0.2">
      <c r="AE565" s="125">
        <f t="shared" si="29"/>
        <v>-550</v>
      </c>
      <c r="AF565" s="15">
        <f t="shared" si="27"/>
        <v>551</v>
      </c>
      <c r="AG565" s="15">
        <f t="shared" si="28"/>
        <v>-1</v>
      </c>
    </row>
    <row r="566" spans="31:33" x14ac:dyDescent="0.2">
      <c r="AE566" s="125">
        <f t="shared" si="29"/>
        <v>-551</v>
      </c>
      <c r="AF566" s="15">
        <f t="shared" si="27"/>
        <v>552</v>
      </c>
      <c r="AG566" s="15">
        <f t="shared" si="28"/>
        <v>-1</v>
      </c>
    </row>
    <row r="567" spans="31:33" x14ac:dyDescent="0.2">
      <c r="AE567" s="125">
        <f t="shared" si="29"/>
        <v>-552</v>
      </c>
      <c r="AF567" s="15">
        <f t="shared" si="27"/>
        <v>553</v>
      </c>
      <c r="AG567" s="15">
        <f t="shared" si="28"/>
        <v>-1</v>
      </c>
    </row>
    <row r="568" spans="31:33" x14ac:dyDescent="0.2">
      <c r="AE568" s="125">
        <f t="shared" si="29"/>
        <v>-553</v>
      </c>
      <c r="AF568" s="15">
        <f t="shared" si="27"/>
        <v>554</v>
      </c>
      <c r="AG568" s="15">
        <f t="shared" si="28"/>
        <v>-1</v>
      </c>
    </row>
    <row r="569" spans="31:33" x14ac:dyDescent="0.2">
      <c r="AE569" s="125">
        <f t="shared" si="29"/>
        <v>-554</v>
      </c>
      <c r="AF569" s="15">
        <f t="shared" si="27"/>
        <v>555</v>
      </c>
      <c r="AG569" s="15">
        <f t="shared" si="28"/>
        <v>-1</v>
      </c>
    </row>
    <row r="570" spans="31:33" x14ac:dyDescent="0.2">
      <c r="AE570" s="125">
        <f t="shared" si="29"/>
        <v>-555</v>
      </c>
      <c r="AF570" s="15">
        <f t="shared" si="27"/>
        <v>556</v>
      </c>
      <c r="AG570" s="15">
        <f t="shared" si="28"/>
        <v>-1</v>
      </c>
    </row>
    <row r="571" spans="31:33" x14ac:dyDescent="0.2">
      <c r="AE571" s="125">
        <f t="shared" si="29"/>
        <v>-556</v>
      </c>
      <c r="AF571" s="15">
        <f t="shared" si="27"/>
        <v>557</v>
      </c>
      <c r="AG571" s="15">
        <f t="shared" si="28"/>
        <v>-1</v>
      </c>
    </row>
    <row r="572" spans="31:33" x14ac:dyDescent="0.2">
      <c r="AE572" s="125">
        <f t="shared" si="29"/>
        <v>-557</v>
      </c>
      <c r="AF572" s="15">
        <f t="shared" si="27"/>
        <v>558</v>
      </c>
      <c r="AG572" s="15">
        <f t="shared" si="28"/>
        <v>-1</v>
      </c>
    </row>
    <row r="573" spans="31:33" x14ac:dyDescent="0.2">
      <c r="AE573" s="125">
        <f t="shared" si="29"/>
        <v>-558</v>
      </c>
      <c r="AF573" s="15">
        <f t="shared" si="27"/>
        <v>559</v>
      </c>
      <c r="AG573" s="15">
        <f t="shared" si="28"/>
        <v>-1</v>
      </c>
    </row>
    <row r="574" spans="31:33" x14ac:dyDescent="0.2">
      <c r="AE574" s="125">
        <f t="shared" si="29"/>
        <v>-559</v>
      </c>
      <c r="AF574" s="15">
        <f t="shared" si="27"/>
        <v>560</v>
      </c>
      <c r="AG574" s="15">
        <f t="shared" si="28"/>
        <v>-1</v>
      </c>
    </row>
    <row r="575" spans="31:33" x14ac:dyDescent="0.2">
      <c r="AE575" s="125">
        <f t="shared" si="29"/>
        <v>-560</v>
      </c>
      <c r="AF575" s="15">
        <f t="shared" si="27"/>
        <v>561</v>
      </c>
      <c r="AG575" s="15">
        <f t="shared" si="28"/>
        <v>-1</v>
      </c>
    </row>
    <row r="576" spans="31:33" x14ac:dyDescent="0.2">
      <c r="AE576" s="125">
        <f t="shared" si="29"/>
        <v>-561</v>
      </c>
      <c r="AF576" s="15">
        <f t="shared" si="27"/>
        <v>562</v>
      </c>
      <c r="AG576" s="15">
        <f t="shared" si="28"/>
        <v>-1</v>
      </c>
    </row>
    <row r="577" spans="31:33" x14ac:dyDescent="0.2">
      <c r="AE577" s="125">
        <f t="shared" si="29"/>
        <v>-562</v>
      </c>
      <c r="AF577" s="15">
        <f t="shared" si="27"/>
        <v>563</v>
      </c>
      <c r="AG577" s="15">
        <f t="shared" si="28"/>
        <v>-1</v>
      </c>
    </row>
    <row r="578" spans="31:33" x14ac:dyDescent="0.2">
      <c r="AE578" s="125">
        <f t="shared" si="29"/>
        <v>-563</v>
      </c>
      <c r="AF578" s="15">
        <f t="shared" si="27"/>
        <v>564</v>
      </c>
      <c r="AG578" s="15">
        <f t="shared" si="28"/>
        <v>-1</v>
      </c>
    </row>
    <row r="579" spans="31:33" x14ac:dyDescent="0.2">
      <c r="AE579" s="125">
        <f t="shared" si="29"/>
        <v>-564</v>
      </c>
      <c r="AF579" s="15">
        <f t="shared" si="27"/>
        <v>565</v>
      </c>
      <c r="AG579" s="15">
        <f t="shared" si="28"/>
        <v>-1</v>
      </c>
    </row>
    <row r="580" spans="31:33" x14ac:dyDescent="0.2">
      <c r="AE580" s="125">
        <f t="shared" si="29"/>
        <v>-565</v>
      </c>
      <c r="AF580" s="15">
        <f t="shared" ref="AF580:AF643" si="30">IF(AF579&gt;=1,AF579+1,IF(AE580=0,1,-1))</f>
        <v>566</v>
      </c>
      <c r="AG580" s="15">
        <f t="shared" ref="AG580:AG643" si="31">IF(AND(AG579&gt;=1,AG579&lt;$AD$3),AG579+1,IF(AE580=0,1,-1))</f>
        <v>-1</v>
      </c>
    </row>
    <row r="581" spans="31:33" x14ac:dyDescent="0.2">
      <c r="AE581" s="125">
        <f t="shared" ref="AE581:AE644" si="32">AE580-1</f>
        <v>-566</v>
      </c>
      <c r="AF581" s="15">
        <f t="shared" si="30"/>
        <v>567</v>
      </c>
      <c r="AG581" s="15">
        <f t="shared" si="31"/>
        <v>-1</v>
      </c>
    </row>
    <row r="582" spans="31:33" x14ac:dyDescent="0.2">
      <c r="AE582" s="125">
        <f t="shared" si="32"/>
        <v>-567</v>
      </c>
      <c r="AF582" s="15">
        <f t="shared" si="30"/>
        <v>568</v>
      </c>
      <c r="AG582" s="15">
        <f t="shared" si="31"/>
        <v>-1</v>
      </c>
    </row>
    <row r="583" spans="31:33" x14ac:dyDescent="0.2">
      <c r="AE583" s="125">
        <f t="shared" si="32"/>
        <v>-568</v>
      </c>
      <c r="AF583" s="15">
        <f t="shared" si="30"/>
        <v>569</v>
      </c>
      <c r="AG583" s="15">
        <f t="shared" si="31"/>
        <v>-1</v>
      </c>
    </row>
    <row r="584" spans="31:33" x14ac:dyDescent="0.2">
      <c r="AE584" s="125">
        <f t="shared" si="32"/>
        <v>-569</v>
      </c>
      <c r="AF584" s="15">
        <f t="shared" si="30"/>
        <v>570</v>
      </c>
      <c r="AG584" s="15">
        <f t="shared" si="31"/>
        <v>-1</v>
      </c>
    </row>
    <row r="585" spans="31:33" x14ac:dyDescent="0.2">
      <c r="AE585" s="125">
        <f t="shared" si="32"/>
        <v>-570</v>
      </c>
      <c r="AF585" s="15">
        <f t="shared" si="30"/>
        <v>571</v>
      </c>
      <c r="AG585" s="15">
        <f t="shared" si="31"/>
        <v>-1</v>
      </c>
    </row>
    <row r="586" spans="31:33" x14ac:dyDescent="0.2">
      <c r="AE586" s="125">
        <f t="shared" si="32"/>
        <v>-571</v>
      </c>
      <c r="AF586" s="15">
        <f t="shared" si="30"/>
        <v>572</v>
      </c>
      <c r="AG586" s="15">
        <f t="shared" si="31"/>
        <v>-1</v>
      </c>
    </row>
    <row r="587" spans="31:33" x14ac:dyDescent="0.2">
      <c r="AE587" s="125">
        <f t="shared" si="32"/>
        <v>-572</v>
      </c>
      <c r="AF587" s="15">
        <f t="shared" si="30"/>
        <v>573</v>
      </c>
      <c r="AG587" s="15">
        <f t="shared" si="31"/>
        <v>-1</v>
      </c>
    </row>
    <row r="588" spans="31:33" x14ac:dyDescent="0.2">
      <c r="AE588" s="125">
        <f t="shared" si="32"/>
        <v>-573</v>
      </c>
      <c r="AF588" s="15">
        <f t="shared" si="30"/>
        <v>574</v>
      </c>
      <c r="AG588" s="15">
        <f t="shared" si="31"/>
        <v>-1</v>
      </c>
    </row>
    <row r="589" spans="31:33" x14ac:dyDescent="0.2">
      <c r="AE589" s="125">
        <f t="shared" si="32"/>
        <v>-574</v>
      </c>
      <c r="AF589" s="15">
        <f t="shared" si="30"/>
        <v>575</v>
      </c>
      <c r="AG589" s="15">
        <f t="shared" si="31"/>
        <v>-1</v>
      </c>
    </row>
    <row r="590" spans="31:33" x14ac:dyDescent="0.2">
      <c r="AE590" s="125">
        <f t="shared" si="32"/>
        <v>-575</v>
      </c>
      <c r="AF590" s="15">
        <f t="shared" si="30"/>
        <v>576</v>
      </c>
      <c r="AG590" s="15">
        <f t="shared" si="31"/>
        <v>-1</v>
      </c>
    </row>
    <row r="591" spans="31:33" x14ac:dyDescent="0.2">
      <c r="AE591" s="125">
        <f t="shared" si="32"/>
        <v>-576</v>
      </c>
      <c r="AF591" s="15">
        <f t="shared" si="30"/>
        <v>577</v>
      </c>
      <c r="AG591" s="15">
        <f t="shared" si="31"/>
        <v>-1</v>
      </c>
    </row>
    <row r="592" spans="31:33" x14ac:dyDescent="0.2">
      <c r="AE592" s="125">
        <f t="shared" si="32"/>
        <v>-577</v>
      </c>
      <c r="AF592" s="15">
        <f t="shared" si="30"/>
        <v>578</v>
      </c>
      <c r="AG592" s="15">
        <f t="shared" si="31"/>
        <v>-1</v>
      </c>
    </row>
    <row r="593" spans="31:33" x14ac:dyDescent="0.2">
      <c r="AE593" s="125">
        <f t="shared" si="32"/>
        <v>-578</v>
      </c>
      <c r="AF593" s="15">
        <f t="shared" si="30"/>
        <v>579</v>
      </c>
      <c r="AG593" s="15">
        <f t="shared" si="31"/>
        <v>-1</v>
      </c>
    </row>
    <row r="594" spans="31:33" x14ac:dyDescent="0.2">
      <c r="AE594" s="125">
        <f t="shared" si="32"/>
        <v>-579</v>
      </c>
      <c r="AF594" s="15">
        <f t="shared" si="30"/>
        <v>580</v>
      </c>
      <c r="AG594" s="15">
        <f t="shared" si="31"/>
        <v>-1</v>
      </c>
    </row>
    <row r="595" spans="31:33" x14ac:dyDescent="0.2">
      <c r="AE595" s="125">
        <f t="shared" si="32"/>
        <v>-580</v>
      </c>
      <c r="AF595" s="15">
        <f t="shared" si="30"/>
        <v>581</v>
      </c>
      <c r="AG595" s="15">
        <f t="shared" si="31"/>
        <v>-1</v>
      </c>
    </row>
    <row r="596" spans="31:33" x14ac:dyDescent="0.2">
      <c r="AE596" s="125">
        <f t="shared" si="32"/>
        <v>-581</v>
      </c>
      <c r="AF596" s="15">
        <f t="shared" si="30"/>
        <v>582</v>
      </c>
      <c r="AG596" s="15">
        <f t="shared" si="31"/>
        <v>-1</v>
      </c>
    </row>
    <row r="597" spans="31:33" x14ac:dyDescent="0.2">
      <c r="AE597" s="125">
        <f t="shared" si="32"/>
        <v>-582</v>
      </c>
      <c r="AF597" s="15">
        <f t="shared" si="30"/>
        <v>583</v>
      </c>
      <c r="AG597" s="15">
        <f t="shared" si="31"/>
        <v>-1</v>
      </c>
    </row>
    <row r="598" spans="31:33" x14ac:dyDescent="0.2">
      <c r="AE598" s="125">
        <f t="shared" si="32"/>
        <v>-583</v>
      </c>
      <c r="AF598" s="15">
        <f t="shared" si="30"/>
        <v>584</v>
      </c>
      <c r="AG598" s="15">
        <f t="shared" si="31"/>
        <v>-1</v>
      </c>
    </row>
    <row r="599" spans="31:33" x14ac:dyDescent="0.2">
      <c r="AE599" s="125">
        <f t="shared" si="32"/>
        <v>-584</v>
      </c>
      <c r="AF599" s="15">
        <f t="shared" si="30"/>
        <v>585</v>
      </c>
      <c r="AG599" s="15">
        <f t="shared" si="31"/>
        <v>-1</v>
      </c>
    </row>
    <row r="600" spans="31:33" x14ac:dyDescent="0.2">
      <c r="AE600" s="125">
        <f t="shared" si="32"/>
        <v>-585</v>
      </c>
      <c r="AF600" s="15">
        <f t="shared" si="30"/>
        <v>586</v>
      </c>
      <c r="AG600" s="15">
        <f t="shared" si="31"/>
        <v>-1</v>
      </c>
    </row>
    <row r="601" spans="31:33" x14ac:dyDescent="0.2">
      <c r="AE601" s="125">
        <f t="shared" si="32"/>
        <v>-586</v>
      </c>
      <c r="AF601" s="15">
        <f t="shared" si="30"/>
        <v>587</v>
      </c>
      <c r="AG601" s="15">
        <f t="shared" si="31"/>
        <v>-1</v>
      </c>
    </row>
    <row r="602" spans="31:33" x14ac:dyDescent="0.2">
      <c r="AE602" s="125">
        <f t="shared" si="32"/>
        <v>-587</v>
      </c>
      <c r="AF602" s="15">
        <f t="shared" si="30"/>
        <v>588</v>
      </c>
      <c r="AG602" s="15">
        <f t="shared" si="31"/>
        <v>-1</v>
      </c>
    </row>
    <row r="603" spans="31:33" x14ac:dyDescent="0.2">
      <c r="AE603" s="125">
        <f t="shared" si="32"/>
        <v>-588</v>
      </c>
      <c r="AF603" s="15">
        <f t="shared" si="30"/>
        <v>589</v>
      </c>
      <c r="AG603" s="15">
        <f t="shared" si="31"/>
        <v>-1</v>
      </c>
    </row>
    <row r="604" spans="31:33" x14ac:dyDescent="0.2">
      <c r="AE604" s="125">
        <f t="shared" si="32"/>
        <v>-589</v>
      </c>
      <c r="AF604" s="15">
        <f t="shared" si="30"/>
        <v>590</v>
      </c>
      <c r="AG604" s="15">
        <f t="shared" si="31"/>
        <v>-1</v>
      </c>
    </row>
    <row r="605" spans="31:33" x14ac:dyDescent="0.2">
      <c r="AE605" s="125">
        <f t="shared" si="32"/>
        <v>-590</v>
      </c>
      <c r="AF605" s="15">
        <f t="shared" si="30"/>
        <v>591</v>
      </c>
      <c r="AG605" s="15">
        <f t="shared" si="31"/>
        <v>-1</v>
      </c>
    </row>
    <row r="606" spans="31:33" x14ac:dyDescent="0.2">
      <c r="AE606" s="125">
        <f t="shared" si="32"/>
        <v>-591</v>
      </c>
      <c r="AF606" s="15">
        <f t="shared" si="30"/>
        <v>592</v>
      </c>
      <c r="AG606" s="15">
        <f t="shared" si="31"/>
        <v>-1</v>
      </c>
    </row>
    <row r="607" spans="31:33" x14ac:dyDescent="0.2">
      <c r="AE607" s="125">
        <f t="shared" si="32"/>
        <v>-592</v>
      </c>
      <c r="AF607" s="15">
        <f t="shared" si="30"/>
        <v>593</v>
      </c>
      <c r="AG607" s="15">
        <f t="shared" si="31"/>
        <v>-1</v>
      </c>
    </row>
    <row r="608" spans="31:33" x14ac:dyDescent="0.2">
      <c r="AE608" s="125">
        <f t="shared" si="32"/>
        <v>-593</v>
      </c>
      <c r="AF608" s="15">
        <f t="shared" si="30"/>
        <v>594</v>
      </c>
      <c r="AG608" s="15">
        <f t="shared" si="31"/>
        <v>-1</v>
      </c>
    </row>
    <row r="609" spans="31:33" x14ac:dyDescent="0.2">
      <c r="AE609" s="125">
        <f t="shared" si="32"/>
        <v>-594</v>
      </c>
      <c r="AF609" s="15">
        <f t="shared" si="30"/>
        <v>595</v>
      </c>
      <c r="AG609" s="15">
        <f t="shared" si="31"/>
        <v>-1</v>
      </c>
    </row>
    <row r="610" spans="31:33" x14ac:dyDescent="0.2">
      <c r="AE610" s="125">
        <f t="shared" si="32"/>
        <v>-595</v>
      </c>
      <c r="AF610" s="15">
        <f t="shared" si="30"/>
        <v>596</v>
      </c>
      <c r="AG610" s="15">
        <f t="shared" si="31"/>
        <v>-1</v>
      </c>
    </row>
    <row r="611" spans="31:33" x14ac:dyDescent="0.2">
      <c r="AE611" s="125">
        <f t="shared" si="32"/>
        <v>-596</v>
      </c>
      <c r="AF611" s="15">
        <f t="shared" si="30"/>
        <v>597</v>
      </c>
      <c r="AG611" s="15">
        <f t="shared" si="31"/>
        <v>-1</v>
      </c>
    </row>
    <row r="612" spans="31:33" x14ac:dyDescent="0.2">
      <c r="AE612" s="125">
        <f t="shared" si="32"/>
        <v>-597</v>
      </c>
      <c r="AF612" s="15">
        <f t="shared" si="30"/>
        <v>598</v>
      </c>
      <c r="AG612" s="15">
        <f t="shared" si="31"/>
        <v>-1</v>
      </c>
    </row>
    <row r="613" spans="31:33" x14ac:dyDescent="0.2">
      <c r="AE613" s="125">
        <f t="shared" si="32"/>
        <v>-598</v>
      </c>
      <c r="AF613" s="15">
        <f t="shared" si="30"/>
        <v>599</v>
      </c>
      <c r="AG613" s="15">
        <f t="shared" si="31"/>
        <v>-1</v>
      </c>
    </row>
    <row r="614" spans="31:33" x14ac:dyDescent="0.2">
      <c r="AE614" s="125">
        <f t="shared" si="32"/>
        <v>-599</v>
      </c>
      <c r="AF614" s="15">
        <f t="shared" si="30"/>
        <v>600</v>
      </c>
      <c r="AG614" s="15">
        <f t="shared" si="31"/>
        <v>-1</v>
      </c>
    </row>
    <row r="615" spans="31:33" x14ac:dyDescent="0.2">
      <c r="AE615" s="125">
        <f t="shared" si="32"/>
        <v>-600</v>
      </c>
      <c r="AF615" s="15">
        <f t="shared" si="30"/>
        <v>601</v>
      </c>
      <c r="AG615" s="15">
        <f t="shared" si="31"/>
        <v>-1</v>
      </c>
    </row>
    <row r="616" spans="31:33" x14ac:dyDescent="0.2">
      <c r="AE616" s="125">
        <f t="shared" si="32"/>
        <v>-601</v>
      </c>
      <c r="AF616" s="15">
        <f t="shared" si="30"/>
        <v>602</v>
      </c>
      <c r="AG616" s="15">
        <f t="shared" si="31"/>
        <v>-1</v>
      </c>
    </row>
    <row r="617" spans="31:33" x14ac:dyDescent="0.2">
      <c r="AE617" s="125">
        <f t="shared" si="32"/>
        <v>-602</v>
      </c>
      <c r="AF617" s="15">
        <f t="shared" si="30"/>
        <v>603</v>
      </c>
      <c r="AG617" s="15">
        <f t="shared" si="31"/>
        <v>-1</v>
      </c>
    </row>
    <row r="618" spans="31:33" x14ac:dyDescent="0.2">
      <c r="AE618" s="125">
        <f t="shared" si="32"/>
        <v>-603</v>
      </c>
      <c r="AF618" s="15">
        <f t="shared" si="30"/>
        <v>604</v>
      </c>
      <c r="AG618" s="15">
        <f t="shared" si="31"/>
        <v>-1</v>
      </c>
    </row>
    <row r="619" spans="31:33" x14ac:dyDescent="0.2">
      <c r="AE619" s="125">
        <f t="shared" si="32"/>
        <v>-604</v>
      </c>
      <c r="AF619" s="15">
        <f t="shared" si="30"/>
        <v>605</v>
      </c>
      <c r="AG619" s="15">
        <f t="shared" si="31"/>
        <v>-1</v>
      </c>
    </row>
    <row r="620" spans="31:33" x14ac:dyDescent="0.2">
      <c r="AE620" s="125">
        <f t="shared" si="32"/>
        <v>-605</v>
      </c>
      <c r="AF620" s="15">
        <f t="shared" si="30"/>
        <v>606</v>
      </c>
      <c r="AG620" s="15">
        <f t="shared" si="31"/>
        <v>-1</v>
      </c>
    </row>
    <row r="621" spans="31:33" x14ac:dyDescent="0.2">
      <c r="AE621" s="125">
        <f t="shared" si="32"/>
        <v>-606</v>
      </c>
      <c r="AF621" s="15">
        <f t="shared" si="30"/>
        <v>607</v>
      </c>
      <c r="AG621" s="15">
        <f t="shared" si="31"/>
        <v>-1</v>
      </c>
    </row>
    <row r="622" spans="31:33" x14ac:dyDescent="0.2">
      <c r="AE622" s="125">
        <f t="shared" si="32"/>
        <v>-607</v>
      </c>
      <c r="AF622" s="15">
        <f t="shared" si="30"/>
        <v>608</v>
      </c>
      <c r="AG622" s="15">
        <f t="shared" si="31"/>
        <v>-1</v>
      </c>
    </row>
    <row r="623" spans="31:33" x14ac:dyDescent="0.2">
      <c r="AE623" s="125">
        <f t="shared" si="32"/>
        <v>-608</v>
      </c>
      <c r="AF623" s="15">
        <f t="shared" si="30"/>
        <v>609</v>
      </c>
      <c r="AG623" s="15">
        <f t="shared" si="31"/>
        <v>-1</v>
      </c>
    </row>
    <row r="624" spans="31:33" x14ac:dyDescent="0.2">
      <c r="AE624" s="125">
        <f t="shared" si="32"/>
        <v>-609</v>
      </c>
      <c r="AF624" s="15">
        <f t="shared" si="30"/>
        <v>610</v>
      </c>
      <c r="AG624" s="15">
        <f t="shared" si="31"/>
        <v>-1</v>
      </c>
    </row>
    <row r="625" spans="31:33" x14ac:dyDescent="0.2">
      <c r="AE625" s="125">
        <f t="shared" si="32"/>
        <v>-610</v>
      </c>
      <c r="AF625" s="15">
        <f t="shared" si="30"/>
        <v>611</v>
      </c>
      <c r="AG625" s="15">
        <f t="shared" si="31"/>
        <v>-1</v>
      </c>
    </row>
    <row r="626" spans="31:33" x14ac:dyDescent="0.2">
      <c r="AE626" s="125">
        <f t="shared" si="32"/>
        <v>-611</v>
      </c>
      <c r="AF626" s="15">
        <f t="shared" si="30"/>
        <v>612</v>
      </c>
      <c r="AG626" s="15">
        <f t="shared" si="31"/>
        <v>-1</v>
      </c>
    </row>
    <row r="627" spans="31:33" x14ac:dyDescent="0.2">
      <c r="AE627" s="125">
        <f t="shared" si="32"/>
        <v>-612</v>
      </c>
      <c r="AF627" s="15">
        <f t="shared" si="30"/>
        <v>613</v>
      </c>
      <c r="AG627" s="15">
        <f t="shared" si="31"/>
        <v>-1</v>
      </c>
    </row>
    <row r="628" spans="31:33" x14ac:dyDescent="0.2">
      <c r="AE628" s="125">
        <f t="shared" si="32"/>
        <v>-613</v>
      </c>
      <c r="AF628" s="15">
        <f t="shared" si="30"/>
        <v>614</v>
      </c>
      <c r="AG628" s="15">
        <f t="shared" si="31"/>
        <v>-1</v>
      </c>
    </row>
    <row r="629" spans="31:33" x14ac:dyDescent="0.2">
      <c r="AE629" s="125">
        <f t="shared" si="32"/>
        <v>-614</v>
      </c>
      <c r="AF629" s="15">
        <f t="shared" si="30"/>
        <v>615</v>
      </c>
      <c r="AG629" s="15">
        <f t="shared" si="31"/>
        <v>-1</v>
      </c>
    </row>
    <row r="630" spans="31:33" x14ac:dyDescent="0.2">
      <c r="AE630" s="125">
        <f t="shared" si="32"/>
        <v>-615</v>
      </c>
      <c r="AF630" s="15">
        <f t="shared" si="30"/>
        <v>616</v>
      </c>
      <c r="AG630" s="15">
        <f t="shared" si="31"/>
        <v>-1</v>
      </c>
    </row>
    <row r="631" spans="31:33" x14ac:dyDescent="0.2">
      <c r="AE631" s="125">
        <f t="shared" si="32"/>
        <v>-616</v>
      </c>
      <c r="AF631" s="15">
        <f t="shared" si="30"/>
        <v>617</v>
      </c>
      <c r="AG631" s="15">
        <f t="shared" si="31"/>
        <v>-1</v>
      </c>
    </row>
    <row r="632" spans="31:33" x14ac:dyDescent="0.2">
      <c r="AE632" s="125">
        <f t="shared" si="32"/>
        <v>-617</v>
      </c>
      <c r="AF632" s="15">
        <f t="shared" si="30"/>
        <v>618</v>
      </c>
      <c r="AG632" s="15">
        <f t="shared" si="31"/>
        <v>-1</v>
      </c>
    </row>
    <row r="633" spans="31:33" x14ac:dyDescent="0.2">
      <c r="AE633" s="125">
        <f t="shared" si="32"/>
        <v>-618</v>
      </c>
      <c r="AF633" s="15">
        <f t="shared" si="30"/>
        <v>619</v>
      </c>
      <c r="AG633" s="15">
        <f t="shared" si="31"/>
        <v>-1</v>
      </c>
    </row>
    <row r="634" spans="31:33" x14ac:dyDescent="0.2">
      <c r="AE634" s="125">
        <f t="shared" si="32"/>
        <v>-619</v>
      </c>
      <c r="AF634" s="15">
        <f t="shared" si="30"/>
        <v>620</v>
      </c>
      <c r="AG634" s="15">
        <f t="shared" si="31"/>
        <v>-1</v>
      </c>
    </row>
    <row r="635" spans="31:33" x14ac:dyDescent="0.2">
      <c r="AE635" s="125">
        <f t="shared" si="32"/>
        <v>-620</v>
      </c>
      <c r="AF635" s="15">
        <f t="shared" si="30"/>
        <v>621</v>
      </c>
      <c r="AG635" s="15">
        <f t="shared" si="31"/>
        <v>-1</v>
      </c>
    </row>
    <row r="636" spans="31:33" x14ac:dyDescent="0.2">
      <c r="AE636" s="125">
        <f t="shared" si="32"/>
        <v>-621</v>
      </c>
      <c r="AF636" s="15">
        <f t="shared" si="30"/>
        <v>622</v>
      </c>
      <c r="AG636" s="15">
        <f t="shared" si="31"/>
        <v>-1</v>
      </c>
    </row>
    <row r="637" spans="31:33" x14ac:dyDescent="0.2">
      <c r="AE637" s="125">
        <f t="shared" si="32"/>
        <v>-622</v>
      </c>
      <c r="AF637" s="15">
        <f t="shared" si="30"/>
        <v>623</v>
      </c>
      <c r="AG637" s="15">
        <f t="shared" si="31"/>
        <v>-1</v>
      </c>
    </row>
    <row r="638" spans="31:33" x14ac:dyDescent="0.2">
      <c r="AE638" s="125">
        <f t="shared" si="32"/>
        <v>-623</v>
      </c>
      <c r="AF638" s="15">
        <f t="shared" si="30"/>
        <v>624</v>
      </c>
      <c r="AG638" s="15">
        <f t="shared" si="31"/>
        <v>-1</v>
      </c>
    </row>
    <row r="639" spans="31:33" x14ac:dyDescent="0.2">
      <c r="AE639" s="125">
        <f t="shared" si="32"/>
        <v>-624</v>
      </c>
      <c r="AF639" s="15">
        <f t="shared" si="30"/>
        <v>625</v>
      </c>
      <c r="AG639" s="15">
        <f t="shared" si="31"/>
        <v>-1</v>
      </c>
    </row>
    <row r="640" spans="31:33" x14ac:dyDescent="0.2">
      <c r="AE640" s="125">
        <f t="shared" si="32"/>
        <v>-625</v>
      </c>
      <c r="AF640" s="15">
        <f t="shared" si="30"/>
        <v>626</v>
      </c>
      <c r="AG640" s="15">
        <f t="shared" si="31"/>
        <v>-1</v>
      </c>
    </row>
    <row r="641" spans="31:33" x14ac:dyDescent="0.2">
      <c r="AE641" s="125">
        <f t="shared" si="32"/>
        <v>-626</v>
      </c>
      <c r="AF641" s="15">
        <f t="shared" si="30"/>
        <v>627</v>
      </c>
      <c r="AG641" s="15">
        <f t="shared" si="31"/>
        <v>-1</v>
      </c>
    </row>
    <row r="642" spans="31:33" x14ac:dyDescent="0.2">
      <c r="AE642" s="125">
        <f t="shared" si="32"/>
        <v>-627</v>
      </c>
      <c r="AF642" s="15">
        <f t="shared" si="30"/>
        <v>628</v>
      </c>
      <c r="AG642" s="15">
        <f t="shared" si="31"/>
        <v>-1</v>
      </c>
    </row>
    <row r="643" spans="31:33" x14ac:dyDescent="0.2">
      <c r="AE643" s="125">
        <f t="shared" si="32"/>
        <v>-628</v>
      </c>
      <c r="AF643" s="15">
        <f t="shared" si="30"/>
        <v>629</v>
      </c>
      <c r="AG643" s="15">
        <f t="shared" si="31"/>
        <v>-1</v>
      </c>
    </row>
    <row r="644" spans="31:33" x14ac:dyDescent="0.2">
      <c r="AE644" s="125">
        <f t="shared" si="32"/>
        <v>-629</v>
      </c>
      <c r="AF644" s="15">
        <f t="shared" ref="AF644:AF707" si="33">IF(AF643&gt;=1,AF643+1,IF(AE644=0,1,-1))</f>
        <v>630</v>
      </c>
      <c r="AG644" s="15">
        <f t="shared" ref="AG644:AG707" si="34">IF(AND(AG643&gt;=1,AG643&lt;$AD$3),AG643+1,IF(AE644=0,1,-1))</f>
        <v>-1</v>
      </c>
    </row>
    <row r="645" spans="31:33" x14ac:dyDescent="0.2">
      <c r="AE645" s="125">
        <f t="shared" ref="AE645:AE708" si="35">AE644-1</f>
        <v>-630</v>
      </c>
      <c r="AF645" s="15">
        <f t="shared" si="33"/>
        <v>631</v>
      </c>
      <c r="AG645" s="15">
        <f t="shared" si="34"/>
        <v>-1</v>
      </c>
    </row>
    <row r="646" spans="31:33" x14ac:dyDescent="0.2">
      <c r="AE646" s="125">
        <f t="shared" si="35"/>
        <v>-631</v>
      </c>
      <c r="AF646" s="15">
        <f t="shared" si="33"/>
        <v>632</v>
      </c>
      <c r="AG646" s="15">
        <f t="shared" si="34"/>
        <v>-1</v>
      </c>
    </row>
    <row r="647" spans="31:33" x14ac:dyDescent="0.2">
      <c r="AE647" s="125">
        <f t="shared" si="35"/>
        <v>-632</v>
      </c>
      <c r="AF647" s="15">
        <f t="shared" si="33"/>
        <v>633</v>
      </c>
      <c r="AG647" s="15">
        <f t="shared" si="34"/>
        <v>-1</v>
      </c>
    </row>
    <row r="648" spans="31:33" x14ac:dyDescent="0.2">
      <c r="AE648" s="125">
        <f t="shared" si="35"/>
        <v>-633</v>
      </c>
      <c r="AF648" s="15">
        <f t="shared" si="33"/>
        <v>634</v>
      </c>
      <c r="AG648" s="15">
        <f t="shared" si="34"/>
        <v>-1</v>
      </c>
    </row>
    <row r="649" spans="31:33" x14ac:dyDescent="0.2">
      <c r="AE649" s="125">
        <f t="shared" si="35"/>
        <v>-634</v>
      </c>
      <c r="AF649" s="15">
        <f t="shared" si="33"/>
        <v>635</v>
      </c>
      <c r="AG649" s="15">
        <f t="shared" si="34"/>
        <v>-1</v>
      </c>
    </row>
    <row r="650" spans="31:33" x14ac:dyDescent="0.2">
      <c r="AE650" s="125">
        <f t="shared" si="35"/>
        <v>-635</v>
      </c>
      <c r="AF650" s="15">
        <f t="shared" si="33"/>
        <v>636</v>
      </c>
      <c r="AG650" s="15">
        <f t="shared" si="34"/>
        <v>-1</v>
      </c>
    </row>
    <row r="651" spans="31:33" x14ac:dyDescent="0.2">
      <c r="AE651" s="125">
        <f t="shared" si="35"/>
        <v>-636</v>
      </c>
      <c r="AF651" s="15">
        <f t="shared" si="33"/>
        <v>637</v>
      </c>
      <c r="AG651" s="15">
        <f t="shared" si="34"/>
        <v>-1</v>
      </c>
    </row>
    <row r="652" spans="31:33" x14ac:dyDescent="0.2">
      <c r="AE652" s="125">
        <f t="shared" si="35"/>
        <v>-637</v>
      </c>
      <c r="AF652" s="15">
        <f t="shared" si="33"/>
        <v>638</v>
      </c>
      <c r="AG652" s="15">
        <f t="shared" si="34"/>
        <v>-1</v>
      </c>
    </row>
    <row r="653" spans="31:33" x14ac:dyDescent="0.2">
      <c r="AE653" s="125">
        <f t="shared" si="35"/>
        <v>-638</v>
      </c>
      <c r="AF653" s="15">
        <f t="shared" si="33"/>
        <v>639</v>
      </c>
      <c r="AG653" s="15">
        <f t="shared" si="34"/>
        <v>-1</v>
      </c>
    </row>
    <row r="654" spans="31:33" x14ac:dyDescent="0.2">
      <c r="AE654" s="125">
        <f t="shared" si="35"/>
        <v>-639</v>
      </c>
      <c r="AF654" s="15">
        <f t="shared" si="33"/>
        <v>640</v>
      </c>
      <c r="AG654" s="15">
        <f t="shared" si="34"/>
        <v>-1</v>
      </c>
    </row>
    <row r="655" spans="31:33" x14ac:dyDescent="0.2">
      <c r="AE655" s="125">
        <f t="shared" si="35"/>
        <v>-640</v>
      </c>
      <c r="AF655" s="15">
        <f t="shared" si="33"/>
        <v>641</v>
      </c>
      <c r="AG655" s="15">
        <f t="shared" si="34"/>
        <v>-1</v>
      </c>
    </row>
    <row r="656" spans="31:33" x14ac:dyDescent="0.2">
      <c r="AE656" s="125">
        <f t="shared" si="35"/>
        <v>-641</v>
      </c>
      <c r="AF656" s="15">
        <f t="shared" si="33"/>
        <v>642</v>
      </c>
      <c r="AG656" s="15">
        <f t="shared" si="34"/>
        <v>-1</v>
      </c>
    </row>
    <row r="657" spans="31:33" x14ac:dyDescent="0.2">
      <c r="AE657" s="125">
        <f t="shared" si="35"/>
        <v>-642</v>
      </c>
      <c r="AF657" s="15">
        <f t="shared" si="33"/>
        <v>643</v>
      </c>
      <c r="AG657" s="15">
        <f t="shared" si="34"/>
        <v>-1</v>
      </c>
    </row>
    <row r="658" spans="31:33" x14ac:dyDescent="0.2">
      <c r="AE658" s="125">
        <f t="shared" si="35"/>
        <v>-643</v>
      </c>
      <c r="AF658" s="15">
        <f t="shared" si="33"/>
        <v>644</v>
      </c>
      <c r="AG658" s="15">
        <f t="shared" si="34"/>
        <v>-1</v>
      </c>
    </row>
    <row r="659" spans="31:33" x14ac:dyDescent="0.2">
      <c r="AE659" s="125">
        <f t="shared" si="35"/>
        <v>-644</v>
      </c>
      <c r="AF659" s="15">
        <f t="shared" si="33"/>
        <v>645</v>
      </c>
      <c r="AG659" s="15">
        <f t="shared" si="34"/>
        <v>-1</v>
      </c>
    </row>
    <row r="660" spans="31:33" x14ac:dyDescent="0.2">
      <c r="AE660" s="125">
        <f t="shared" si="35"/>
        <v>-645</v>
      </c>
      <c r="AF660" s="15">
        <f t="shared" si="33"/>
        <v>646</v>
      </c>
      <c r="AG660" s="15">
        <f t="shared" si="34"/>
        <v>-1</v>
      </c>
    </row>
    <row r="661" spans="31:33" x14ac:dyDescent="0.2">
      <c r="AE661" s="125">
        <f t="shared" si="35"/>
        <v>-646</v>
      </c>
      <c r="AF661" s="15">
        <f t="shared" si="33"/>
        <v>647</v>
      </c>
      <c r="AG661" s="15">
        <f t="shared" si="34"/>
        <v>-1</v>
      </c>
    </row>
    <row r="662" spans="31:33" x14ac:dyDescent="0.2">
      <c r="AE662" s="125">
        <f t="shared" si="35"/>
        <v>-647</v>
      </c>
      <c r="AF662" s="15">
        <f t="shared" si="33"/>
        <v>648</v>
      </c>
      <c r="AG662" s="15">
        <f t="shared" si="34"/>
        <v>-1</v>
      </c>
    </row>
    <row r="663" spans="31:33" x14ac:dyDescent="0.2">
      <c r="AE663" s="125">
        <f t="shared" si="35"/>
        <v>-648</v>
      </c>
      <c r="AF663" s="15">
        <f t="shared" si="33"/>
        <v>649</v>
      </c>
      <c r="AG663" s="15">
        <f t="shared" si="34"/>
        <v>-1</v>
      </c>
    </row>
    <row r="664" spans="31:33" x14ac:dyDescent="0.2">
      <c r="AE664" s="125">
        <f t="shared" si="35"/>
        <v>-649</v>
      </c>
      <c r="AF664" s="15">
        <f t="shared" si="33"/>
        <v>650</v>
      </c>
      <c r="AG664" s="15">
        <f t="shared" si="34"/>
        <v>-1</v>
      </c>
    </row>
    <row r="665" spans="31:33" x14ac:dyDescent="0.2">
      <c r="AE665" s="125">
        <f t="shared" si="35"/>
        <v>-650</v>
      </c>
      <c r="AF665" s="15">
        <f t="shared" si="33"/>
        <v>651</v>
      </c>
      <c r="AG665" s="15">
        <f t="shared" si="34"/>
        <v>-1</v>
      </c>
    </row>
    <row r="666" spans="31:33" x14ac:dyDescent="0.2">
      <c r="AE666" s="125">
        <f t="shared" si="35"/>
        <v>-651</v>
      </c>
      <c r="AF666" s="15">
        <f t="shared" si="33"/>
        <v>652</v>
      </c>
      <c r="AG666" s="15">
        <f t="shared" si="34"/>
        <v>-1</v>
      </c>
    </row>
    <row r="667" spans="31:33" x14ac:dyDescent="0.2">
      <c r="AE667" s="125">
        <f t="shared" si="35"/>
        <v>-652</v>
      </c>
      <c r="AF667" s="15">
        <f t="shared" si="33"/>
        <v>653</v>
      </c>
      <c r="AG667" s="15">
        <f t="shared" si="34"/>
        <v>-1</v>
      </c>
    </row>
    <row r="668" spans="31:33" x14ac:dyDescent="0.2">
      <c r="AE668" s="125">
        <f t="shared" si="35"/>
        <v>-653</v>
      </c>
      <c r="AF668" s="15">
        <f t="shared" si="33"/>
        <v>654</v>
      </c>
      <c r="AG668" s="15">
        <f t="shared" si="34"/>
        <v>-1</v>
      </c>
    </row>
    <row r="669" spans="31:33" x14ac:dyDescent="0.2">
      <c r="AE669" s="125">
        <f t="shared" si="35"/>
        <v>-654</v>
      </c>
      <c r="AF669" s="15">
        <f t="shared" si="33"/>
        <v>655</v>
      </c>
      <c r="AG669" s="15">
        <f t="shared" si="34"/>
        <v>-1</v>
      </c>
    </row>
    <row r="670" spans="31:33" x14ac:dyDescent="0.2">
      <c r="AE670" s="125">
        <f t="shared" si="35"/>
        <v>-655</v>
      </c>
      <c r="AF670" s="15">
        <f t="shared" si="33"/>
        <v>656</v>
      </c>
      <c r="AG670" s="15">
        <f t="shared" si="34"/>
        <v>-1</v>
      </c>
    </row>
    <row r="671" spans="31:33" x14ac:dyDescent="0.2">
      <c r="AE671" s="125">
        <f t="shared" si="35"/>
        <v>-656</v>
      </c>
      <c r="AF671" s="15">
        <f t="shared" si="33"/>
        <v>657</v>
      </c>
      <c r="AG671" s="15">
        <f t="shared" si="34"/>
        <v>-1</v>
      </c>
    </row>
    <row r="672" spans="31:33" x14ac:dyDescent="0.2">
      <c r="AE672" s="125">
        <f t="shared" si="35"/>
        <v>-657</v>
      </c>
      <c r="AF672" s="15">
        <f t="shared" si="33"/>
        <v>658</v>
      </c>
      <c r="AG672" s="15">
        <f t="shared" si="34"/>
        <v>-1</v>
      </c>
    </row>
    <row r="673" spans="31:33" x14ac:dyDescent="0.2">
      <c r="AE673" s="125">
        <f t="shared" si="35"/>
        <v>-658</v>
      </c>
      <c r="AF673" s="15">
        <f t="shared" si="33"/>
        <v>659</v>
      </c>
      <c r="AG673" s="15">
        <f t="shared" si="34"/>
        <v>-1</v>
      </c>
    </row>
    <row r="674" spans="31:33" x14ac:dyDescent="0.2">
      <c r="AE674" s="125">
        <f t="shared" si="35"/>
        <v>-659</v>
      </c>
      <c r="AF674" s="15">
        <f t="shared" si="33"/>
        <v>660</v>
      </c>
      <c r="AG674" s="15">
        <f t="shared" si="34"/>
        <v>-1</v>
      </c>
    </row>
    <row r="675" spans="31:33" x14ac:dyDescent="0.2">
      <c r="AE675" s="125">
        <f t="shared" si="35"/>
        <v>-660</v>
      </c>
      <c r="AF675" s="15">
        <f t="shared" si="33"/>
        <v>661</v>
      </c>
      <c r="AG675" s="15">
        <f t="shared" si="34"/>
        <v>-1</v>
      </c>
    </row>
    <row r="676" spans="31:33" x14ac:dyDescent="0.2">
      <c r="AE676" s="125">
        <f t="shared" si="35"/>
        <v>-661</v>
      </c>
      <c r="AF676" s="15">
        <f t="shared" si="33"/>
        <v>662</v>
      </c>
      <c r="AG676" s="15">
        <f t="shared" si="34"/>
        <v>-1</v>
      </c>
    </row>
    <row r="677" spans="31:33" x14ac:dyDescent="0.2">
      <c r="AE677" s="125">
        <f t="shared" si="35"/>
        <v>-662</v>
      </c>
      <c r="AF677" s="15">
        <f t="shared" si="33"/>
        <v>663</v>
      </c>
      <c r="AG677" s="15">
        <f t="shared" si="34"/>
        <v>-1</v>
      </c>
    </row>
    <row r="678" spans="31:33" x14ac:dyDescent="0.2">
      <c r="AE678" s="125">
        <f t="shared" si="35"/>
        <v>-663</v>
      </c>
      <c r="AF678" s="15">
        <f t="shared" si="33"/>
        <v>664</v>
      </c>
      <c r="AG678" s="15">
        <f t="shared" si="34"/>
        <v>-1</v>
      </c>
    </row>
    <row r="679" spans="31:33" x14ac:dyDescent="0.2">
      <c r="AE679" s="125">
        <f t="shared" si="35"/>
        <v>-664</v>
      </c>
      <c r="AF679" s="15">
        <f t="shared" si="33"/>
        <v>665</v>
      </c>
      <c r="AG679" s="15">
        <f t="shared" si="34"/>
        <v>-1</v>
      </c>
    </row>
    <row r="680" spans="31:33" x14ac:dyDescent="0.2">
      <c r="AE680" s="125">
        <f t="shared" si="35"/>
        <v>-665</v>
      </c>
      <c r="AF680" s="15">
        <f t="shared" si="33"/>
        <v>666</v>
      </c>
      <c r="AG680" s="15">
        <f t="shared" si="34"/>
        <v>-1</v>
      </c>
    </row>
    <row r="681" spans="31:33" x14ac:dyDescent="0.2">
      <c r="AE681" s="125">
        <f t="shared" si="35"/>
        <v>-666</v>
      </c>
      <c r="AF681" s="15">
        <f t="shared" si="33"/>
        <v>667</v>
      </c>
      <c r="AG681" s="15">
        <f t="shared" si="34"/>
        <v>-1</v>
      </c>
    </row>
    <row r="682" spans="31:33" x14ac:dyDescent="0.2">
      <c r="AE682" s="125">
        <f t="shared" si="35"/>
        <v>-667</v>
      </c>
      <c r="AF682" s="15">
        <f t="shared" si="33"/>
        <v>668</v>
      </c>
      <c r="AG682" s="15">
        <f t="shared" si="34"/>
        <v>-1</v>
      </c>
    </row>
    <row r="683" spans="31:33" x14ac:dyDescent="0.2">
      <c r="AE683" s="125">
        <f t="shared" si="35"/>
        <v>-668</v>
      </c>
      <c r="AF683" s="15">
        <f t="shared" si="33"/>
        <v>669</v>
      </c>
      <c r="AG683" s="15">
        <f t="shared" si="34"/>
        <v>-1</v>
      </c>
    </row>
    <row r="684" spans="31:33" x14ac:dyDescent="0.2">
      <c r="AE684" s="125">
        <f t="shared" si="35"/>
        <v>-669</v>
      </c>
      <c r="AF684" s="15">
        <f t="shared" si="33"/>
        <v>670</v>
      </c>
      <c r="AG684" s="15">
        <f t="shared" si="34"/>
        <v>-1</v>
      </c>
    </row>
    <row r="685" spans="31:33" x14ac:dyDescent="0.2">
      <c r="AE685" s="125">
        <f t="shared" si="35"/>
        <v>-670</v>
      </c>
      <c r="AF685" s="15">
        <f t="shared" si="33"/>
        <v>671</v>
      </c>
      <c r="AG685" s="15">
        <f t="shared" si="34"/>
        <v>-1</v>
      </c>
    </row>
    <row r="686" spans="31:33" x14ac:dyDescent="0.2">
      <c r="AE686" s="125">
        <f t="shared" si="35"/>
        <v>-671</v>
      </c>
      <c r="AF686" s="15">
        <f t="shared" si="33"/>
        <v>672</v>
      </c>
      <c r="AG686" s="15">
        <f t="shared" si="34"/>
        <v>-1</v>
      </c>
    </row>
    <row r="687" spans="31:33" x14ac:dyDescent="0.2">
      <c r="AE687" s="125">
        <f t="shared" si="35"/>
        <v>-672</v>
      </c>
      <c r="AF687" s="15">
        <f t="shared" si="33"/>
        <v>673</v>
      </c>
      <c r="AG687" s="15">
        <f t="shared" si="34"/>
        <v>-1</v>
      </c>
    </row>
    <row r="688" spans="31:33" x14ac:dyDescent="0.2">
      <c r="AE688" s="125">
        <f t="shared" si="35"/>
        <v>-673</v>
      </c>
      <c r="AF688" s="15">
        <f t="shared" si="33"/>
        <v>674</v>
      </c>
      <c r="AG688" s="15">
        <f t="shared" si="34"/>
        <v>-1</v>
      </c>
    </row>
    <row r="689" spans="31:33" x14ac:dyDescent="0.2">
      <c r="AE689" s="125">
        <f t="shared" si="35"/>
        <v>-674</v>
      </c>
      <c r="AF689" s="15">
        <f t="shared" si="33"/>
        <v>675</v>
      </c>
      <c r="AG689" s="15">
        <f t="shared" si="34"/>
        <v>-1</v>
      </c>
    </row>
    <row r="690" spans="31:33" x14ac:dyDescent="0.2">
      <c r="AE690" s="125">
        <f t="shared" si="35"/>
        <v>-675</v>
      </c>
      <c r="AF690" s="15">
        <f t="shared" si="33"/>
        <v>676</v>
      </c>
      <c r="AG690" s="15">
        <f t="shared" si="34"/>
        <v>-1</v>
      </c>
    </row>
    <row r="691" spans="31:33" x14ac:dyDescent="0.2">
      <c r="AE691" s="125">
        <f t="shared" si="35"/>
        <v>-676</v>
      </c>
      <c r="AF691" s="15">
        <f t="shared" si="33"/>
        <v>677</v>
      </c>
      <c r="AG691" s="15">
        <f t="shared" si="34"/>
        <v>-1</v>
      </c>
    </row>
    <row r="692" spans="31:33" x14ac:dyDescent="0.2">
      <c r="AE692" s="125">
        <f t="shared" si="35"/>
        <v>-677</v>
      </c>
      <c r="AF692" s="15">
        <f t="shared" si="33"/>
        <v>678</v>
      </c>
      <c r="AG692" s="15">
        <f t="shared" si="34"/>
        <v>-1</v>
      </c>
    </row>
    <row r="693" spans="31:33" x14ac:dyDescent="0.2">
      <c r="AE693" s="125">
        <f t="shared" si="35"/>
        <v>-678</v>
      </c>
      <c r="AF693" s="15">
        <f t="shared" si="33"/>
        <v>679</v>
      </c>
      <c r="AG693" s="15">
        <f t="shared" si="34"/>
        <v>-1</v>
      </c>
    </row>
    <row r="694" spans="31:33" x14ac:dyDescent="0.2">
      <c r="AE694" s="125">
        <f t="shared" si="35"/>
        <v>-679</v>
      </c>
      <c r="AF694" s="15">
        <f t="shared" si="33"/>
        <v>680</v>
      </c>
      <c r="AG694" s="15">
        <f t="shared" si="34"/>
        <v>-1</v>
      </c>
    </row>
    <row r="695" spans="31:33" x14ac:dyDescent="0.2">
      <c r="AE695" s="125">
        <f t="shared" si="35"/>
        <v>-680</v>
      </c>
      <c r="AF695" s="15">
        <f t="shared" si="33"/>
        <v>681</v>
      </c>
      <c r="AG695" s="15">
        <f t="shared" si="34"/>
        <v>-1</v>
      </c>
    </row>
    <row r="696" spans="31:33" x14ac:dyDescent="0.2">
      <c r="AE696" s="125">
        <f t="shared" si="35"/>
        <v>-681</v>
      </c>
      <c r="AF696" s="15">
        <f t="shared" si="33"/>
        <v>682</v>
      </c>
      <c r="AG696" s="15">
        <f t="shared" si="34"/>
        <v>-1</v>
      </c>
    </row>
    <row r="697" spans="31:33" x14ac:dyDescent="0.2">
      <c r="AE697" s="125">
        <f t="shared" si="35"/>
        <v>-682</v>
      </c>
      <c r="AF697" s="15">
        <f t="shared" si="33"/>
        <v>683</v>
      </c>
      <c r="AG697" s="15">
        <f t="shared" si="34"/>
        <v>-1</v>
      </c>
    </row>
    <row r="698" spans="31:33" x14ac:dyDescent="0.2">
      <c r="AE698" s="125">
        <f t="shared" si="35"/>
        <v>-683</v>
      </c>
      <c r="AF698" s="15">
        <f t="shared" si="33"/>
        <v>684</v>
      </c>
      <c r="AG698" s="15">
        <f t="shared" si="34"/>
        <v>-1</v>
      </c>
    </row>
    <row r="699" spans="31:33" x14ac:dyDescent="0.2">
      <c r="AE699" s="125">
        <f t="shared" si="35"/>
        <v>-684</v>
      </c>
      <c r="AF699" s="15">
        <f t="shared" si="33"/>
        <v>685</v>
      </c>
      <c r="AG699" s="15">
        <f t="shared" si="34"/>
        <v>-1</v>
      </c>
    </row>
    <row r="700" spans="31:33" x14ac:dyDescent="0.2">
      <c r="AE700" s="125">
        <f t="shared" si="35"/>
        <v>-685</v>
      </c>
      <c r="AF700" s="15">
        <f t="shared" si="33"/>
        <v>686</v>
      </c>
      <c r="AG700" s="15">
        <f t="shared" si="34"/>
        <v>-1</v>
      </c>
    </row>
    <row r="701" spans="31:33" x14ac:dyDescent="0.2">
      <c r="AE701" s="125">
        <f t="shared" si="35"/>
        <v>-686</v>
      </c>
      <c r="AF701" s="15">
        <f t="shared" si="33"/>
        <v>687</v>
      </c>
      <c r="AG701" s="15">
        <f t="shared" si="34"/>
        <v>-1</v>
      </c>
    </row>
    <row r="702" spans="31:33" x14ac:dyDescent="0.2">
      <c r="AE702" s="125">
        <f t="shared" si="35"/>
        <v>-687</v>
      </c>
      <c r="AF702" s="15">
        <f t="shared" si="33"/>
        <v>688</v>
      </c>
      <c r="AG702" s="15">
        <f t="shared" si="34"/>
        <v>-1</v>
      </c>
    </row>
    <row r="703" spans="31:33" x14ac:dyDescent="0.2">
      <c r="AE703" s="125">
        <f t="shared" si="35"/>
        <v>-688</v>
      </c>
      <c r="AF703" s="15">
        <f t="shared" si="33"/>
        <v>689</v>
      </c>
      <c r="AG703" s="15">
        <f t="shared" si="34"/>
        <v>-1</v>
      </c>
    </row>
    <row r="704" spans="31:33" x14ac:dyDescent="0.2">
      <c r="AE704" s="125">
        <f t="shared" si="35"/>
        <v>-689</v>
      </c>
      <c r="AF704" s="15">
        <f t="shared" si="33"/>
        <v>690</v>
      </c>
      <c r="AG704" s="15">
        <f t="shared" si="34"/>
        <v>-1</v>
      </c>
    </row>
    <row r="705" spans="31:33" x14ac:dyDescent="0.2">
      <c r="AE705" s="125">
        <f t="shared" si="35"/>
        <v>-690</v>
      </c>
      <c r="AF705" s="15">
        <f t="shared" si="33"/>
        <v>691</v>
      </c>
      <c r="AG705" s="15">
        <f t="shared" si="34"/>
        <v>-1</v>
      </c>
    </row>
    <row r="706" spans="31:33" x14ac:dyDescent="0.2">
      <c r="AE706" s="125">
        <f t="shared" si="35"/>
        <v>-691</v>
      </c>
      <c r="AF706" s="15">
        <f t="shared" si="33"/>
        <v>692</v>
      </c>
      <c r="AG706" s="15">
        <f t="shared" si="34"/>
        <v>-1</v>
      </c>
    </row>
    <row r="707" spans="31:33" x14ac:dyDescent="0.2">
      <c r="AE707" s="125">
        <f t="shared" si="35"/>
        <v>-692</v>
      </c>
      <c r="AF707" s="15">
        <f t="shared" si="33"/>
        <v>693</v>
      </c>
      <c r="AG707" s="15">
        <f t="shared" si="34"/>
        <v>-1</v>
      </c>
    </row>
    <row r="708" spans="31:33" x14ac:dyDescent="0.2">
      <c r="AE708" s="125">
        <f t="shared" si="35"/>
        <v>-693</v>
      </c>
      <c r="AF708" s="15">
        <f t="shared" ref="AF708:AF771" si="36">IF(AF707&gt;=1,AF707+1,IF(AE708=0,1,-1))</f>
        <v>694</v>
      </c>
      <c r="AG708" s="15">
        <f t="shared" ref="AG708:AG771" si="37">IF(AND(AG707&gt;=1,AG707&lt;$AD$3),AG707+1,IF(AE708=0,1,-1))</f>
        <v>-1</v>
      </c>
    </row>
    <row r="709" spans="31:33" x14ac:dyDescent="0.2">
      <c r="AE709" s="125">
        <f t="shared" ref="AE709:AE772" si="38">AE708-1</f>
        <v>-694</v>
      </c>
      <c r="AF709" s="15">
        <f t="shared" si="36"/>
        <v>695</v>
      </c>
      <c r="AG709" s="15">
        <f t="shared" si="37"/>
        <v>-1</v>
      </c>
    </row>
    <row r="710" spans="31:33" x14ac:dyDescent="0.2">
      <c r="AE710" s="125">
        <f t="shared" si="38"/>
        <v>-695</v>
      </c>
      <c r="AF710" s="15">
        <f t="shared" si="36"/>
        <v>696</v>
      </c>
      <c r="AG710" s="15">
        <f t="shared" si="37"/>
        <v>-1</v>
      </c>
    </row>
    <row r="711" spans="31:33" x14ac:dyDescent="0.2">
      <c r="AE711" s="125">
        <f t="shared" si="38"/>
        <v>-696</v>
      </c>
      <c r="AF711" s="15">
        <f t="shared" si="36"/>
        <v>697</v>
      </c>
      <c r="AG711" s="15">
        <f t="shared" si="37"/>
        <v>-1</v>
      </c>
    </row>
    <row r="712" spans="31:33" x14ac:dyDescent="0.2">
      <c r="AE712" s="125">
        <f t="shared" si="38"/>
        <v>-697</v>
      </c>
      <c r="AF712" s="15">
        <f t="shared" si="36"/>
        <v>698</v>
      </c>
      <c r="AG712" s="15">
        <f t="shared" si="37"/>
        <v>-1</v>
      </c>
    </row>
    <row r="713" spans="31:33" x14ac:dyDescent="0.2">
      <c r="AE713" s="125">
        <f t="shared" si="38"/>
        <v>-698</v>
      </c>
      <c r="AF713" s="15">
        <f t="shared" si="36"/>
        <v>699</v>
      </c>
      <c r="AG713" s="15">
        <f t="shared" si="37"/>
        <v>-1</v>
      </c>
    </row>
    <row r="714" spans="31:33" x14ac:dyDescent="0.2">
      <c r="AE714" s="125">
        <f t="shared" si="38"/>
        <v>-699</v>
      </c>
      <c r="AF714" s="15">
        <f t="shared" si="36"/>
        <v>700</v>
      </c>
      <c r="AG714" s="15">
        <f t="shared" si="37"/>
        <v>-1</v>
      </c>
    </row>
    <row r="715" spans="31:33" x14ac:dyDescent="0.2">
      <c r="AE715" s="125">
        <f t="shared" si="38"/>
        <v>-700</v>
      </c>
      <c r="AF715" s="15">
        <f t="shared" si="36"/>
        <v>701</v>
      </c>
      <c r="AG715" s="15">
        <f t="shared" si="37"/>
        <v>-1</v>
      </c>
    </row>
    <row r="716" spans="31:33" x14ac:dyDescent="0.2">
      <c r="AE716" s="125">
        <f t="shared" si="38"/>
        <v>-701</v>
      </c>
      <c r="AF716" s="15">
        <f t="shared" si="36"/>
        <v>702</v>
      </c>
      <c r="AG716" s="15">
        <f t="shared" si="37"/>
        <v>-1</v>
      </c>
    </row>
    <row r="717" spans="31:33" x14ac:dyDescent="0.2">
      <c r="AE717" s="125">
        <f t="shared" si="38"/>
        <v>-702</v>
      </c>
      <c r="AF717" s="15">
        <f t="shared" si="36"/>
        <v>703</v>
      </c>
      <c r="AG717" s="15">
        <f t="shared" si="37"/>
        <v>-1</v>
      </c>
    </row>
    <row r="718" spans="31:33" x14ac:dyDescent="0.2">
      <c r="AE718" s="125">
        <f t="shared" si="38"/>
        <v>-703</v>
      </c>
      <c r="AF718" s="15">
        <f t="shared" si="36"/>
        <v>704</v>
      </c>
      <c r="AG718" s="15">
        <f t="shared" si="37"/>
        <v>-1</v>
      </c>
    </row>
    <row r="719" spans="31:33" x14ac:dyDescent="0.2">
      <c r="AE719" s="125">
        <f t="shared" si="38"/>
        <v>-704</v>
      </c>
      <c r="AF719" s="15">
        <f t="shared" si="36"/>
        <v>705</v>
      </c>
      <c r="AG719" s="15">
        <f t="shared" si="37"/>
        <v>-1</v>
      </c>
    </row>
    <row r="720" spans="31:33" x14ac:dyDescent="0.2">
      <c r="AE720" s="125">
        <f t="shared" si="38"/>
        <v>-705</v>
      </c>
      <c r="AF720" s="15">
        <f t="shared" si="36"/>
        <v>706</v>
      </c>
      <c r="AG720" s="15">
        <f t="shared" si="37"/>
        <v>-1</v>
      </c>
    </row>
    <row r="721" spans="31:33" x14ac:dyDescent="0.2">
      <c r="AE721" s="125">
        <f t="shared" si="38"/>
        <v>-706</v>
      </c>
      <c r="AF721" s="15">
        <f t="shared" si="36"/>
        <v>707</v>
      </c>
      <c r="AG721" s="15">
        <f t="shared" si="37"/>
        <v>-1</v>
      </c>
    </row>
    <row r="722" spans="31:33" x14ac:dyDescent="0.2">
      <c r="AE722" s="125">
        <f t="shared" si="38"/>
        <v>-707</v>
      </c>
      <c r="AF722" s="15">
        <f t="shared" si="36"/>
        <v>708</v>
      </c>
      <c r="AG722" s="15">
        <f t="shared" si="37"/>
        <v>-1</v>
      </c>
    </row>
    <row r="723" spans="31:33" x14ac:dyDescent="0.2">
      <c r="AE723" s="125">
        <f t="shared" si="38"/>
        <v>-708</v>
      </c>
      <c r="AF723" s="15">
        <f t="shared" si="36"/>
        <v>709</v>
      </c>
      <c r="AG723" s="15">
        <f t="shared" si="37"/>
        <v>-1</v>
      </c>
    </row>
    <row r="724" spans="31:33" x14ac:dyDescent="0.2">
      <c r="AE724" s="125">
        <f t="shared" si="38"/>
        <v>-709</v>
      </c>
      <c r="AF724" s="15">
        <f t="shared" si="36"/>
        <v>710</v>
      </c>
      <c r="AG724" s="15">
        <f t="shared" si="37"/>
        <v>-1</v>
      </c>
    </row>
    <row r="725" spans="31:33" x14ac:dyDescent="0.2">
      <c r="AE725" s="125">
        <f t="shared" si="38"/>
        <v>-710</v>
      </c>
      <c r="AF725" s="15">
        <f t="shared" si="36"/>
        <v>711</v>
      </c>
      <c r="AG725" s="15">
        <f t="shared" si="37"/>
        <v>-1</v>
      </c>
    </row>
    <row r="726" spans="31:33" x14ac:dyDescent="0.2">
      <c r="AE726" s="125">
        <f t="shared" si="38"/>
        <v>-711</v>
      </c>
      <c r="AF726" s="15">
        <f t="shared" si="36"/>
        <v>712</v>
      </c>
      <c r="AG726" s="15">
        <f t="shared" si="37"/>
        <v>-1</v>
      </c>
    </row>
    <row r="727" spans="31:33" x14ac:dyDescent="0.2">
      <c r="AE727" s="125">
        <f t="shared" si="38"/>
        <v>-712</v>
      </c>
      <c r="AF727" s="15">
        <f t="shared" si="36"/>
        <v>713</v>
      </c>
      <c r="AG727" s="15">
        <f t="shared" si="37"/>
        <v>-1</v>
      </c>
    </row>
    <row r="728" spans="31:33" x14ac:dyDescent="0.2">
      <c r="AE728" s="125">
        <f t="shared" si="38"/>
        <v>-713</v>
      </c>
      <c r="AF728" s="15">
        <f t="shared" si="36"/>
        <v>714</v>
      </c>
      <c r="AG728" s="15">
        <f t="shared" si="37"/>
        <v>-1</v>
      </c>
    </row>
    <row r="729" spans="31:33" x14ac:dyDescent="0.2">
      <c r="AE729" s="125">
        <f t="shared" si="38"/>
        <v>-714</v>
      </c>
      <c r="AF729" s="15">
        <f t="shared" si="36"/>
        <v>715</v>
      </c>
      <c r="AG729" s="15">
        <f t="shared" si="37"/>
        <v>-1</v>
      </c>
    </row>
    <row r="730" spans="31:33" x14ac:dyDescent="0.2">
      <c r="AE730" s="125">
        <f t="shared" si="38"/>
        <v>-715</v>
      </c>
      <c r="AF730" s="15">
        <f t="shared" si="36"/>
        <v>716</v>
      </c>
      <c r="AG730" s="15">
        <f t="shared" si="37"/>
        <v>-1</v>
      </c>
    </row>
    <row r="731" spans="31:33" x14ac:dyDescent="0.2">
      <c r="AE731" s="125">
        <f t="shared" si="38"/>
        <v>-716</v>
      </c>
      <c r="AF731" s="15">
        <f t="shared" si="36"/>
        <v>717</v>
      </c>
      <c r="AG731" s="15">
        <f t="shared" si="37"/>
        <v>-1</v>
      </c>
    </row>
    <row r="732" spans="31:33" x14ac:dyDescent="0.2">
      <c r="AE732" s="125">
        <f t="shared" si="38"/>
        <v>-717</v>
      </c>
      <c r="AF732" s="15">
        <f t="shared" si="36"/>
        <v>718</v>
      </c>
      <c r="AG732" s="15">
        <f t="shared" si="37"/>
        <v>-1</v>
      </c>
    </row>
    <row r="733" spans="31:33" x14ac:dyDescent="0.2">
      <c r="AE733" s="125">
        <f t="shared" si="38"/>
        <v>-718</v>
      </c>
      <c r="AF733" s="15">
        <f t="shared" si="36"/>
        <v>719</v>
      </c>
      <c r="AG733" s="15">
        <f t="shared" si="37"/>
        <v>-1</v>
      </c>
    </row>
    <row r="734" spans="31:33" x14ac:dyDescent="0.2">
      <c r="AE734" s="125">
        <f t="shared" si="38"/>
        <v>-719</v>
      </c>
      <c r="AF734" s="15">
        <f t="shared" si="36"/>
        <v>720</v>
      </c>
      <c r="AG734" s="15">
        <f t="shared" si="37"/>
        <v>-1</v>
      </c>
    </row>
    <row r="735" spans="31:33" x14ac:dyDescent="0.2">
      <c r="AE735" s="125">
        <f t="shared" si="38"/>
        <v>-720</v>
      </c>
      <c r="AF735" s="15">
        <f t="shared" si="36"/>
        <v>721</v>
      </c>
      <c r="AG735" s="15">
        <f t="shared" si="37"/>
        <v>-1</v>
      </c>
    </row>
    <row r="736" spans="31:33" x14ac:dyDescent="0.2">
      <c r="AE736" s="125">
        <f t="shared" si="38"/>
        <v>-721</v>
      </c>
      <c r="AF736" s="15">
        <f t="shared" si="36"/>
        <v>722</v>
      </c>
      <c r="AG736" s="15">
        <f t="shared" si="37"/>
        <v>-1</v>
      </c>
    </row>
    <row r="737" spans="31:33" x14ac:dyDescent="0.2">
      <c r="AE737" s="125">
        <f t="shared" si="38"/>
        <v>-722</v>
      </c>
      <c r="AF737" s="15">
        <f t="shared" si="36"/>
        <v>723</v>
      </c>
      <c r="AG737" s="15">
        <f t="shared" si="37"/>
        <v>-1</v>
      </c>
    </row>
    <row r="738" spans="31:33" x14ac:dyDescent="0.2">
      <c r="AE738" s="125">
        <f t="shared" si="38"/>
        <v>-723</v>
      </c>
      <c r="AF738" s="15">
        <f t="shared" si="36"/>
        <v>724</v>
      </c>
      <c r="AG738" s="15">
        <f t="shared" si="37"/>
        <v>-1</v>
      </c>
    </row>
    <row r="739" spans="31:33" x14ac:dyDescent="0.2">
      <c r="AE739" s="125">
        <f t="shared" si="38"/>
        <v>-724</v>
      </c>
      <c r="AF739" s="15">
        <f t="shared" si="36"/>
        <v>725</v>
      </c>
      <c r="AG739" s="15">
        <f t="shared" si="37"/>
        <v>-1</v>
      </c>
    </row>
    <row r="740" spans="31:33" x14ac:dyDescent="0.2">
      <c r="AE740" s="125">
        <f t="shared" si="38"/>
        <v>-725</v>
      </c>
      <c r="AF740" s="15">
        <f t="shared" si="36"/>
        <v>726</v>
      </c>
      <c r="AG740" s="15">
        <f t="shared" si="37"/>
        <v>-1</v>
      </c>
    </row>
    <row r="741" spans="31:33" x14ac:dyDescent="0.2">
      <c r="AE741" s="125">
        <f t="shared" si="38"/>
        <v>-726</v>
      </c>
      <c r="AF741" s="15">
        <f t="shared" si="36"/>
        <v>727</v>
      </c>
      <c r="AG741" s="15">
        <f t="shared" si="37"/>
        <v>-1</v>
      </c>
    </row>
    <row r="742" spans="31:33" x14ac:dyDescent="0.2">
      <c r="AE742" s="125">
        <f t="shared" si="38"/>
        <v>-727</v>
      </c>
      <c r="AF742" s="15">
        <f t="shared" si="36"/>
        <v>728</v>
      </c>
      <c r="AG742" s="15">
        <f t="shared" si="37"/>
        <v>-1</v>
      </c>
    </row>
    <row r="743" spans="31:33" x14ac:dyDescent="0.2">
      <c r="AE743" s="125">
        <f t="shared" si="38"/>
        <v>-728</v>
      </c>
      <c r="AF743" s="15">
        <f t="shared" si="36"/>
        <v>729</v>
      </c>
      <c r="AG743" s="15">
        <f t="shared" si="37"/>
        <v>-1</v>
      </c>
    </row>
    <row r="744" spans="31:33" x14ac:dyDescent="0.2">
      <c r="AE744" s="125">
        <f t="shared" si="38"/>
        <v>-729</v>
      </c>
      <c r="AF744" s="15">
        <f t="shared" si="36"/>
        <v>730</v>
      </c>
      <c r="AG744" s="15">
        <f t="shared" si="37"/>
        <v>-1</v>
      </c>
    </row>
    <row r="745" spans="31:33" x14ac:dyDescent="0.2">
      <c r="AE745" s="125">
        <f t="shared" si="38"/>
        <v>-730</v>
      </c>
      <c r="AF745" s="15">
        <f t="shared" si="36"/>
        <v>731</v>
      </c>
      <c r="AG745" s="15">
        <f t="shared" si="37"/>
        <v>-1</v>
      </c>
    </row>
    <row r="746" spans="31:33" x14ac:dyDescent="0.2">
      <c r="AE746" s="125">
        <f t="shared" si="38"/>
        <v>-731</v>
      </c>
      <c r="AF746" s="15">
        <f t="shared" si="36"/>
        <v>732</v>
      </c>
      <c r="AG746" s="15">
        <f t="shared" si="37"/>
        <v>-1</v>
      </c>
    </row>
    <row r="747" spans="31:33" x14ac:dyDescent="0.2">
      <c r="AE747" s="125">
        <f t="shared" si="38"/>
        <v>-732</v>
      </c>
      <c r="AF747" s="15">
        <f t="shared" si="36"/>
        <v>733</v>
      </c>
      <c r="AG747" s="15">
        <f t="shared" si="37"/>
        <v>-1</v>
      </c>
    </row>
    <row r="748" spans="31:33" x14ac:dyDescent="0.2">
      <c r="AE748" s="125">
        <f t="shared" si="38"/>
        <v>-733</v>
      </c>
      <c r="AF748" s="15">
        <f t="shared" si="36"/>
        <v>734</v>
      </c>
      <c r="AG748" s="15">
        <f t="shared" si="37"/>
        <v>-1</v>
      </c>
    </row>
    <row r="749" spans="31:33" x14ac:dyDescent="0.2">
      <c r="AE749" s="125">
        <f t="shared" si="38"/>
        <v>-734</v>
      </c>
      <c r="AF749" s="15">
        <f t="shared" si="36"/>
        <v>735</v>
      </c>
      <c r="AG749" s="15">
        <f t="shared" si="37"/>
        <v>-1</v>
      </c>
    </row>
    <row r="750" spans="31:33" x14ac:dyDescent="0.2">
      <c r="AE750" s="125">
        <f t="shared" si="38"/>
        <v>-735</v>
      </c>
      <c r="AF750" s="15">
        <f t="shared" si="36"/>
        <v>736</v>
      </c>
      <c r="AG750" s="15">
        <f t="shared" si="37"/>
        <v>-1</v>
      </c>
    </row>
    <row r="751" spans="31:33" x14ac:dyDescent="0.2">
      <c r="AE751" s="125">
        <f t="shared" si="38"/>
        <v>-736</v>
      </c>
      <c r="AF751" s="15">
        <f t="shared" si="36"/>
        <v>737</v>
      </c>
      <c r="AG751" s="15">
        <f t="shared" si="37"/>
        <v>-1</v>
      </c>
    </row>
    <row r="752" spans="31:33" x14ac:dyDescent="0.2">
      <c r="AE752" s="125">
        <f t="shared" si="38"/>
        <v>-737</v>
      </c>
      <c r="AF752" s="15">
        <f t="shared" si="36"/>
        <v>738</v>
      </c>
      <c r="AG752" s="15">
        <f t="shared" si="37"/>
        <v>-1</v>
      </c>
    </row>
    <row r="753" spans="31:33" x14ac:dyDescent="0.2">
      <c r="AE753" s="125">
        <f t="shared" si="38"/>
        <v>-738</v>
      </c>
      <c r="AF753" s="15">
        <f t="shared" si="36"/>
        <v>739</v>
      </c>
      <c r="AG753" s="15">
        <f t="shared" si="37"/>
        <v>-1</v>
      </c>
    </row>
    <row r="754" spans="31:33" x14ac:dyDescent="0.2">
      <c r="AE754" s="125">
        <f t="shared" si="38"/>
        <v>-739</v>
      </c>
      <c r="AF754" s="15">
        <f t="shared" si="36"/>
        <v>740</v>
      </c>
      <c r="AG754" s="15">
        <f t="shared" si="37"/>
        <v>-1</v>
      </c>
    </row>
    <row r="755" spans="31:33" x14ac:dyDescent="0.2">
      <c r="AE755" s="125">
        <f t="shared" si="38"/>
        <v>-740</v>
      </c>
      <c r="AF755" s="15">
        <f t="shared" si="36"/>
        <v>741</v>
      </c>
      <c r="AG755" s="15">
        <f t="shared" si="37"/>
        <v>-1</v>
      </c>
    </row>
    <row r="756" spans="31:33" x14ac:dyDescent="0.2">
      <c r="AE756" s="125">
        <f t="shared" si="38"/>
        <v>-741</v>
      </c>
      <c r="AF756" s="15">
        <f t="shared" si="36"/>
        <v>742</v>
      </c>
      <c r="AG756" s="15">
        <f t="shared" si="37"/>
        <v>-1</v>
      </c>
    </row>
    <row r="757" spans="31:33" x14ac:dyDescent="0.2">
      <c r="AE757" s="125">
        <f t="shared" si="38"/>
        <v>-742</v>
      </c>
      <c r="AF757" s="15">
        <f t="shared" si="36"/>
        <v>743</v>
      </c>
      <c r="AG757" s="15">
        <f t="shared" si="37"/>
        <v>-1</v>
      </c>
    </row>
    <row r="758" spans="31:33" x14ac:dyDescent="0.2">
      <c r="AE758" s="125">
        <f t="shared" si="38"/>
        <v>-743</v>
      </c>
      <c r="AF758" s="15">
        <f t="shared" si="36"/>
        <v>744</v>
      </c>
      <c r="AG758" s="15">
        <f t="shared" si="37"/>
        <v>-1</v>
      </c>
    </row>
    <row r="759" spans="31:33" x14ac:dyDescent="0.2">
      <c r="AE759" s="125">
        <f t="shared" si="38"/>
        <v>-744</v>
      </c>
      <c r="AF759" s="15">
        <f t="shared" si="36"/>
        <v>745</v>
      </c>
      <c r="AG759" s="15">
        <f t="shared" si="37"/>
        <v>-1</v>
      </c>
    </row>
    <row r="760" spans="31:33" x14ac:dyDescent="0.2">
      <c r="AE760" s="125">
        <f t="shared" si="38"/>
        <v>-745</v>
      </c>
      <c r="AF760" s="15">
        <f t="shared" si="36"/>
        <v>746</v>
      </c>
      <c r="AG760" s="15">
        <f t="shared" si="37"/>
        <v>-1</v>
      </c>
    </row>
    <row r="761" spans="31:33" x14ac:dyDescent="0.2">
      <c r="AE761" s="125">
        <f t="shared" si="38"/>
        <v>-746</v>
      </c>
      <c r="AF761" s="15">
        <f t="shared" si="36"/>
        <v>747</v>
      </c>
      <c r="AG761" s="15">
        <f t="shared" si="37"/>
        <v>-1</v>
      </c>
    </row>
    <row r="762" spans="31:33" x14ac:dyDescent="0.2">
      <c r="AE762" s="125">
        <f t="shared" si="38"/>
        <v>-747</v>
      </c>
      <c r="AF762" s="15">
        <f t="shared" si="36"/>
        <v>748</v>
      </c>
      <c r="AG762" s="15">
        <f t="shared" si="37"/>
        <v>-1</v>
      </c>
    </row>
    <row r="763" spans="31:33" x14ac:dyDescent="0.2">
      <c r="AE763" s="125">
        <f t="shared" si="38"/>
        <v>-748</v>
      </c>
      <c r="AF763" s="15">
        <f t="shared" si="36"/>
        <v>749</v>
      </c>
      <c r="AG763" s="15">
        <f t="shared" si="37"/>
        <v>-1</v>
      </c>
    </row>
    <row r="764" spans="31:33" x14ac:dyDescent="0.2">
      <c r="AE764" s="125">
        <f t="shared" si="38"/>
        <v>-749</v>
      </c>
      <c r="AF764" s="15">
        <f t="shared" si="36"/>
        <v>750</v>
      </c>
      <c r="AG764" s="15">
        <f t="shared" si="37"/>
        <v>-1</v>
      </c>
    </row>
    <row r="765" spans="31:33" x14ac:dyDescent="0.2">
      <c r="AE765" s="125">
        <f t="shared" si="38"/>
        <v>-750</v>
      </c>
      <c r="AF765" s="15">
        <f t="shared" si="36"/>
        <v>751</v>
      </c>
      <c r="AG765" s="15">
        <f t="shared" si="37"/>
        <v>-1</v>
      </c>
    </row>
    <row r="766" spans="31:33" x14ac:dyDescent="0.2">
      <c r="AE766" s="125">
        <f t="shared" si="38"/>
        <v>-751</v>
      </c>
      <c r="AF766" s="15">
        <f t="shared" si="36"/>
        <v>752</v>
      </c>
      <c r="AG766" s="15">
        <f t="shared" si="37"/>
        <v>-1</v>
      </c>
    </row>
    <row r="767" spans="31:33" x14ac:dyDescent="0.2">
      <c r="AE767" s="125">
        <f t="shared" si="38"/>
        <v>-752</v>
      </c>
      <c r="AF767" s="15">
        <f t="shared" si="36"/>
        <v>753</v>
      </c>
      <c r="AG767" s="15">
        <f t="shared" si="37"/>
        <v>-1</v>
      </c>
    </row>
    <row r="768" spans="31:33" x14ac:dyDescent="0.2">
      <c r="AE768" s="125">
        <f t="shared" si="38"/>
        <v>-753</v>
      </c>
      <c r="AF768" s="15">
        <f t="shared" si="36"/>
        <v>754</v>
      </c>
      <c r="AG768" s="15">
        <f t="shared" si="37"/>
        <v>-1</v>
      </c>
    </row>
    <row r="769" spans="31:33" x14ac:dyDescent="0.2">
      <c r="AE769" s="125">
        <f t="shared" si="38"/>
        <v>-754</v>
      </c>
      <c r="AF769" s="15">
        <f t="shared" si="36"/>
        <v>755</v>
      </c>
      <c r="AG769" s="15">
        <f t="shared" si="37"/>
        <v>-1</v>
      </c>
    </row>
    <row r="770" spans="31:33" x14ac:dyDescent="0.2">
      <c r="AE770" s="125">
        <f t="shared" si="38"/>
        <v>-755</v>
      </c>
      <c r="AF770" s="15">
        <f t="shared" si="36"/>
        <v>756</v>
      </c>
      <c r="AG770" s="15">
        <f t="shared" si="37"/>
        <v>-1</v>
      </c>
    </row>
    <row r="771" spans="31:33" x14ac:dyDescent="0.2">
      <c r="AE771" s="125">
        <f t="shared" si="38"/>
        <v>-756</v>
      </c>
      <c r="AF771" s="15">
        <f t="shared" si="36"/>
        <v>757</v>
      </c>
      <c r="AG771" s="15">
        <f t="shared" si="37"/>
        <v>-1</v>
      </c>
    </row>
    <row r="772" spans="31:33" x14ac:dyDescent="0.2">
      <c r="AE772" s="125">
        <f t="shared" si="38"/>
        <v>-757</v>
      </c>
      <c r="AF772" s="15">
        <f t="shared" ref="AF772:AF835" si="39">IF(AF771&gt;=1,AF771+1,IF(AE772=0,1,-1))</f>
        <v>758</v>
      </c>
      <c r="AG772" s="15">
        <f t="shared" ref="AG772:AG835" si="40">IF(AND(AG771&gt;=1,AG771&lt;$AD$3),AG771+1,IF(AE772=0,1,-1))</f>
        <v>-1</v>
      </c>
    </row>
    <row r="773" spans="31:33" x14ac:dyDescent="0.2">
      <c r="AE773" s="125">
        <f t="shared" ref="AE773:AE836" si="41">AE772-1</f>
        <v>-758</v>
      </c>
      <c r="AF773" s="15">
        <f t="shared" si="39"/>
        <v>759</v>
      </c>
      <c r="AG773" s="15">
        <f t="shared" si="40"/>
        <v>-1</v>
      </c>
    </row>
    <row r="774" spans="31:33" x14ac:dyDescent="0.2">
      <c r="AE774" s="125">
        <f t="shared" si="41"/>
        <v>-759</v>
      </c>
      <c r="AF774" s="15">
        <f t="shared" si="39"/>
        <v>760</v>
      </c>
      <c r="AG774" s="15">
        <f t="shared" si="40"/>
        <v>-1</v>
      </c>
    </row>
    <row r="775" spans="31:33" x14ac:dyDescent="0.2">
      <c r="AE775" s="125">
        <f t="shared" si="41"/>
        <v>-760</v>
      </c>
      <c r="AF775" s="15">
        <f t="shared" si="39"/>
        <v>761</v>
      </c>
      <c r="AG775" s="15">
        <f t="shared" si="40"/>
        <v>-1</v>
      </c>
    </row>
    <row r="776" spans="31:33" x14ac:dyDescent="0.2">
      <c r="AE776" s="125">
        <f t="shared" si="41"/>
        <v>-761</v>
      </c>
      <c r="AF776" s="15">
        <f t="shared" si="39"/>
        <v>762</v>
      </c>
      <c r="AG776" s="15">
        <f t="shared" si="40"/>
        <v>-1</v>
      </c>
    </row>
    <row r="777" spans="31:33" x14ac:dyDescent="0.2">
      <c r="AE777" s="125">
        <f t="shared" si="41"/>
        <v>-762</v>
      </c>
      <c r="AF777" s="15">
        <f t="shared" si="39"/>
        <v>763</v>
      </c>
      <c r="AG777" s="15">
        <f t="shared" si="40"/>
        <v>-1</v>
      </c>
    </row>
    <row r="778" spans="31:33" x14ac:dyDescent="0.2">
      <c r="AE778" s="125">
        <f t="shared" si="41"/>
        <v>-763</v>
      </c>
      <c r="AF778" s="15">
        <f t="shared" si="39"/>
        <v>764</v>
      </c>
      <c r="AG778" s="15">
        <f t="shared" si="40"/>
        <v>-1</v>
      </c>
    </row>
    <row r="779" spans="31:33" x14ac:dyDescent="0.2">
      <c r="AE779" s="125">
        <f t="shared" si="41"/>
        <v>-764</v>
      </c>
      <c r="AF779" s="15">
        <f t="shared" si="39"/>
        <v>765</v>
      </c>
      <c r="AG779" s="15">
        <f t="shared" si="40"/>
        <v>-1</v>
      </c>
    </row>
    <row r="780" spans="31:33" x14ac:dyDescent="0.2">
      <c r="AE780" s="125">
        <f t="shared" si="41"/>
        <v>-765</v>
      </c>
      <c r="AF780" s="15">
        <f t="shared" si="39"/>
        <v>766</v>
      </c>
      <c r="AG780" s="15">
        <f t="shared" si="40"/>
        <v>-1</v>
      </c>
    </row>
    <row r="781" spans="31:33" x14ac:dyDescent="0.2">
      <c r="AE781" s="125">
        <f t="shared" si="41"/>
        <v>-766</v>
      </c>
      <c r="AF781" s="15">
        <f t="shared" si="39"/>
        <v>767</v>
      </c>
      <c r="AG781" s="15">
        <f t="shared" si="40"/>
        <v>-1</v>
      </c>
    </row>
    <row r="782" spans="31:33" x14ac:dyDescent="0.2">
      <c r="AE782" s="125">
        <f t="shared" si="41"/>
        <v>-767</v>
      </c>
      <c r="AF782" s="15">
        <f t="shared" si="39"/>
        <v>768</v>
      </c>
      <c r="AG782" s="15">
        <f t="shared" si="40"/>
        <v>-1</v>
      </c>
    </row>
    <row r="783" spans="31:33" x14ac:dyDescent="0.2">
      <c r="AE783" s="125">
        <f t="shared" si="41"/>
        <v>-768</v>
      </c>
      <c r="AF783" s="15">
        <f t="shared" si="39"/>
        <v>769</v>
      </c>
      <c r="AG783" s="15">
        <f t="shared" si="40"/>
        <v>-1</v>
      </c>
    </row>
    <row r="784" spans="31:33" x14ac:dyDescent="0.2">
      <c r="AE784" s="125">
        <f t="shared" si="41"/>
        <v>-769</v>
      </c>
      <c r="AF784" s="15">
        <f t="shared" si="39"/>
        <v>770</v>
      </c>
      <c r="AG784" s="15">
        <f t="shared" si="40"/>
        <v>-1</v>
      </c>
    </row>
    <row r="785" spans="31:33" x14ac:dyDescent="0.2">
      <c r="AE785" s="125">
        <f t="shared" si="41"/>
        <v>-770</v>
      </c>
      <c r="AF785" s="15">
        <f t="shared" si="39"/>
        <v>771</v>
      </c>
      <c r="AG785" s="15">
        <f t="shared" si="40"/>
        <v>-1</v>
      </c>
    </row>
    <row r="786" spans="31:33" x14ac:dyDescent="0.2">
      <c r="AE786" s="125">
        <f t="shared" si="41"/>
        <v>-771</v>
      </c>
      <c r="AF786" s="15">
        <f t="shared" si="39"/>
        <v>772</v>
      </c>
      <c r="AG786" s="15">
        <f t="shared" si="40"/>
        <v>-1</v>
      </c>
    </row>
    <row r="787" spans="31:33" x14ac:dyDescent="0.2">
      <c r="AE787" s="125">
        <f t="shared" si="41"/>
        <v>-772</v>
      </c>
      <c r="AF787" s="15">
        <f t="shared" si="39"/>
        <v>773</v>
      </c>
      <c r="AG787" s="15">
        <f t="shared" si="40"/>
        <v>-1</v>
      </c>
    </row>
    <row r="788" spans="31:33" x14ac:dyDescent="0.2">
      <c r="AE788" s="125">
        <f t="shared" si="41"/>
        <v>-773</v>
      </c>
      <c r="AF788" s="15">
        <f t="shared" si="39"/>
        <v>774</v>
      </c>
      <c r="AG788" s="15">
        <f t="shared" si="40"/>
        <v>-1</v>
      </c>
    </row>
    <row r="789" spans="31:33" x14ac:dyDescent="0.2">
      <c r="AE789" s="125">
        <f t="shared" si="41"/>
        <v>-774</v>
      </c>
      <c r="AF789" s="15">
        <f t="shared" si="39"/>
        <v>775</v>
      </c>
      <c r="AG789" s="15">
        <f t="shared" si="40"/>
        <v>-1</v>
      </c>
    </row>
    <row r="790" spans="31:33" x14ac:dyDescent="0.2">
      <c r="AE790" s="125">
        <f t="shared" si="41"/>
        <v>-775</v>
      </c>
      <c r="AF790" s="15">
        <f t="shared" si="39"/>
        <v>776</v>
      </c>
      <c r="AG790" s="15">
        <f t="shared" si="40"/>
        <v>-1</v>
      </c>
    </row>
    <row r="791" spans="31:33" x14ac:dyDescent="0.2">
      <c r="AE791" s="125">
        <f t="shared" si="41"/>
        <v>-776</v>
      </c>
      <c r="AF791" s="15">
        <f t="shared" si="39"/>
        <v>777</v>
      </c>
      <c r="AG791" s="15">
        <f t="shared" si="40"/>
        <v>-1</v>
      </c>
    </row>
    <row r="792" spans="31:33" x14ac:dyDescent="0.2">
      <c r="AE792" s="125">
        <f t="shared" si="41"/>
        <v>-777</v>
      </c>
      <c r="AF792" s="15">
        <f t="shared" si="39"/>
        <v>778</v>
      </c>
      <c r="AG792" s="15">
        <f t="shared" si="40"/>
        <v>-1</v>
      </c>
    </row>
    <row r="793" spans="31:33" x14ac:dyDescent="0.2">
      <c r="AE793" s="125">
        <f t="shared" si="41"/>
        <v>-778</v>
      </c>
      <c r="AF793" s="15">
        <f t="shared" si="39"/>
        <v>779</v>
      </c>
      <c r="AG793" s="15">
        <f t="shared" si="40"/>
        <v>-1</v>
      </c>
    </row>
    <row r="794" spans="31:33" x14ac:dyDescent="0.2">
      <c r="AE794" s="125">
        <f t="shared" si="41"/>
        <v>-779</v>
      </c>
      <c r="AF794" s="15">
        <f t="shared" si="39"/>
        <v>780</v>
      </c>
      <c r="AG794" s="15">
        <f t="shared" si="40"/>
        <v>-1</v>
      </c>
    </row>
    <row r="795" spans="31:33" x14ac:dyDescent="0.2">
      <c r="AE795" s="125">
        <f t="shared" si="41"/>
        <v>-780</v>
      </c>
      <c r="AF795" s="15">
        <f t="shared" si="39"/>
        <v>781</v>
      </c>
      <c r="AG795" s="15">
        <f t="shared" si="40"/>
        <v>-1</v>
      </c>
    </row>
    <row r="796" spans="31:33" x14ac:dyDescent="0.2">
      <c r="AE796" s="125">
        <f t="shared" si="41"/>
        <v>-781</v>
      </c>
      <c r="AF796" s="15">
        <f t="shared" si="39"/>
        <v>782</v>
      </c>
      <c r="AG796" s="15">
        <f t="shared" si="40"/>
        <v>-1</v>
      </c>
    </row>
    <row r="797" spans="31:33" x14ac:dyDescent="0.2">
      <c r="AE797" s="125">
        <f t="shared" si="41"/>
        <v>-782</v>
      </c>
      <c r="AF797" s="15">
        <f t="shared" si="39"/>
        <v>783</v>
      </c>
      <c r="AG797" s="15">
        <f t="shared" si="40"/>
        <v>-1</v>
      </c>
    </row>
    <row r="798" spans="31:33" x14ac:dyDescent="0.2">
      <c r="AE798" s="125">
        <f t="shared" si="41"/>
        <v>-783</v>
      </c>
      <c r="AF798" s="15">
        <f t="shared" si="39"/>
        <v>784</v>
      </c>
      <c r="AG798" s="15">
        <f t="shared" si="40"/>
        <v>-1</v>
      </c>
    </row>
    <row r="799" spans="31:33" x14ac:dyDescent="0.2">
      <c r="AE799" s="125">
        <f t="shared" si="41"/>
        <v>-784</v>
      </c>
      <c r="AF799" s="15">
        <f t="shared" si="39"/>
        <v>785</v>
      </c>
      <c r="AG799" s="15">
        <f t="shared" si="40"/>
        <v>-1</v>
      </c>
    </row>
    <row r="800" spans="31:33" x14ac:dyDescent="0.2">
      <c r="AE800" s="125">
        <f t="shared" si="41"/>
        <v>-785</v>
      </c>
      <c r="AF800" s="15">
        <f t="shared" si="39"/>
        <v>786</v>
      </c>
      <c r="AG800" s="15">
        <f t="shared" si="40"/>
        <v>-1</v>
      </c>
    </row>
    <row r="801" spans="31:33" x14ac:dyDescent="0.2">
      <c r="AE801" s="125">
        <f t="shared" si="41"/>
        <v>-786</v>
      </c>
      <c r="AF801" s="15">
        <f t="shared" si="39"/>
        <v>787</v>
      </c>
      <c r="AG801" s="15">
        <f t="shared" si="40"/>
        <v>-1</v>
      </c>
    </row>
    <row r="802" spans="31:33" x14ac:dyDescent="0.2">
      <c r="AE802" s="125">
        <f t="shared" si="41"/>
        <v>-787</v>
      </c>
      <c r="AF802" s="15">
        <f t="shared" si="39"/>
        <v>788</v>
      </c>
      <c r="AG802" s="15">
        <f t="shared" si="40"/>
        <v>-1</v>
      </c>
    </row>
    <row r="803" spans="31:33" x14ac:dyDescent="0.2">
      <c r="AE803" s="125">
        <f t="shared" si="41"/>
        <v>-788</v>
      </c>
      <c r="AF803" s="15">
        <f t="shared" si="39"/>
        <v>789</v>
      </c>
      <c r="AG803" s="15">
        <f t="shared" si="40"/>
        <v>-1</v>
      </c>
    </row>
    <row r="804" spans="31:33" x14ac:dyDescent="0.2">
      <c r="AE804" s="125">
        <f t="shared" si="41"/>
        <v>-789</v>
      </c>
      <c r="AF804" s="15">
        <f t="shared" si="39"/>
        <v>790</v>
      </c>
      <c r="AG804" s="15">
        <f t="shared" si="40"/>
        <v>-1</v>
      </c>
    </row>
    <row r="805" spans="31:33" x14ac:dyDescent="0.2">
      <c r="AE805" s="125">
        <f t="shared" si="41"/>
        <v>-790</v>
      </c>
      <c r="AF805" s="15">
        <f t="shared" si="39"/>
        <v>791</v>
      </c>
      <c r="AG805" s="15">
        <f t="shared" si="40"/>
        <v>-1</v>
      </c>
    </row>
    <row r="806" spans="31:33" x14ac:dyDescent="0.2">
      <c r="AE806" s="125">
        <f t="shared" si="41"/>
        <v>-791</v>
      </c>
      <c r="AF806" s="15">
        <f t="shared" si="39"/>
        <v>792</v>
      </c>
      <c r="AG806" s="15">
        <f t="shared" si="40"/>
        <v>-1</v>
      </c>
    </row>
    <row r="807" spans="31:33" x14ac:dyDescent="0.2">
      <c r="AE807" s="125">
        <f t="shared" si="41"/>
        <v>-792</v>
      </c>
      <c r="AF807" s="15">
        <f t="shared" si="39"/>
        <v>793</v>
      </c>
      <c r="AG807" s="15">
        <f t="shared" si="40"/>
        <v>-1</v>
      </c>
    </row>
    <row r="808" spans="31:33" x14ac:dyDescent="0.2">
      <c r="AE808" s="125">
        <f t="shared" si="41"/>
        <v>-793</v>
      </c>
      <c r="AF808" s="15">
        <f t="shared" si="39"/>
        <v>794</v>
      </c>
      <c r="AG808" s="15">
        <f t="shared" si="40"/>
        <v>-1</v>
      </c>
    </row>
    <row r="809" spans="31:33" x14ac:dyDescent="0.2">
      <c r="AE809" s="125">
        <f t="shared" si="41"/>
        <v>-794</v>
      </c>
      <c r="AF809" s="15">
        <f t="shared" si="39"/>
        <v>795</v>
      </c>
      <c r="AG809" s="15">
        <f t="shared" si="40"/>
        <v>-1</v>
      </c>
    </row>
    <row r="810" spans="31:33" x14ac:dyDescent="0.2">
      <c r="AE810" s="125">
        <f t="shared" si="41"/>
        <v>-795</v>
      </c>
      <c r="AF810" s="15">
        <f t="shared" si="39"/>
        <v>796</v>
      </c>
      <c r="AG810" s="15">
        <f t="shared" si="40"/>
        <v>-1</v>
      </c>
    </row>
    <row r="811" spans="31:33" x14ac:dyDescent="0.2">
      <c r="AE811" s="125">
        <f t="shared" si="41"/>
        <v>-796</v>
      </c>
      <c r="AF811" s="15">
        <f t="shared" si="39"/>
        <v>797</v>
      </c>
      <c r="AG811" s="15">
        <f t="shared" si="40"/>
        <v>-1</v>
      </c>
    </row>
    <row r="812" spans="31:33" x14ac:dyDescent="0.2">
      <c r="AE812" s="125">
        <f t="shared" si="41"/>
        <v>-797</v>
      </c>
      <c r="AF812" s="15">
        <f t="shared" si="39"/>
        <v>798</v>
      </c>
      <c r="AG812" s="15">
        <f t="shared" si="40"/>
        <v>-1</v>
      </c>
    </row>
    <row r="813" spans="31:33" x14ac:dyDescent="0.2">
      <c r="AE813" s="125">
        <f t="shared" si="41"/>
        <v>-798</v>
      </c>
      <c r="AF813" s="15">
        <f t="shared" si="39"/>
        <v>799</v>
      </c>
      <c r="AG813" s="15">
        <f t="shared" si="40"/>
        <v>-1</v>
      </c>
    </row>
    <row r="814" spans="31:33" x14ac:dyDescent="0.2">
      <c r="AE814" s="125">
        <f t="shared" si="41"/>
        <v>-799</v>
      </c>
      <c r="AF814" s="15">
        <f t="shared" si="39"/>
        <v>800</v>
      </c>
      <c r="AG814" s="15">
        <f t="shared" si="40"/>
        <v>-1</v>
      </c>
    </row>
    <row r="815" spans="31:33" x14ac:dyDescent="0.2">
      <c r="AE815" s="125">
        <f t="shared" si="41"/>
        <v>-800</v>
      </c>
      <c r="AF815" s="15">
        <f t="shared" si="39"/>
        <v>801</v>
      </c>
      <c r="AG815" s="15">
        <f t="shared" si="40"/>
        <v>-1</v>
      </c>
    </row>
    <row r="816" spans="31:33" x14ac:dyDescent="0.2">
      <c r="AE816" s="125">
        <f t="shared" si="41"/>
        <v>-801</v>
      </c>
      <c r="AF816" s="15">
        <f t="shared" si="39"/>
        <v>802</v>
      </c>
      <c r="AG816" s="15">
        <f t="shared" si="40"/>
        <v>-1</v>
      </c>
    </row>
    <row r="817" spans="31:33" x14ac:dyDescent="0.2">
      <c r="AE817" s="125">
        <f t="shared" si="41"/>
        <v>-802</v>
      </c>
      <c r="AF817" s="15">
        <f t="shared" si="39"/>
        <v>803</v>
      </c>
      <c r="AG817" s="15">
        <f t="shared" si="40"/>
        <v>-1</v>
      </c>
    </row>
    <row r="818" spans="31:33" x14ac:dyDescent="0.2">
      <c r="AE818" s="125">
        <f t="shared" si="41"/>
        <v>-803</v>
      </c>
      <c r="AF818" s="15">
        <f t="shared" si="39"/>
        <v>804</v>
      </c>
      <c r="AG818" s="15">
        <f t="shared" si="40"/>
        <v>-1</v>
      </c>
    </row>
    <row r="819" spans="31:33" x14ac:dyDescent="0.2">
      <c r="AE819" s="125">
        <f t="shared" si="41"/>
        <v>-804</v>
      </c>
      <c r="AF819" s="15">
        <f t="shared" si="39"/>
        <v>805</v>
      </c>
      <c r="AG819" s="15">
        <f t="shared" si="40"/>
        <v>-1</v>
      </c>
    </row>
    <row r="820" spans="31:33" x14ac:dyDescent="0.2">
      <c r="AE820" s="125">
        <f t="shared" si="41"/>
        <v>-805</v>
      </c>
      <c r="AF820" s="15">
        <f t="shared" si="39"/>
        <v>806</v>
      </c>
      <c r="AG820" s="15">
        <f t="shared" si="40"/>
        <v>-1</v>
      </c>
    </row>
    <row r="821" spans="31:33" x14ac:dyDescent="0.2">
      <c r="AE821" s="125">
        <f t="shared" si="41"/>
        <v>-806</v>
      </c>
      <c r="AF821" s="15">
        <f t="shared" si="39"/>
        <v>807</v>
      </c>
      <c r="AG821" s="15">
        <f t="shared" si="40"/>
        <v>-1</v>
      </c>
    </row>
    <row r="822" spans="31:33" x14ac:dyDescent="0.2">
      <c r="AE822" s="125">
        <f t="shared" si="41"/>
        <v>-807</v>
      </c>
      <c r="AF822" s="15">
        <f t="shared" si="39"/>
        <v>808</v>
      </c>
      <c r="AG822" s="15">
        <f t="shared" si="40"/>
        <v>-1</v>
      </c>
    </row>
    <row r="823" spans="31:33" x14ac:dyDescent="0.2">
      <c r="AE823" s="125">
        <f t="shared" si="41"/>
        <v>-808</v>
      </c>
      <c r="AF823" s="15">
        <f t="shared" si="39"/>
        <v>809</v>
      </c>
      <c r="AG823" s="15">
        <f t="shared" si="40"/>
        <v>-1</v>
      </c>
    </row>
    <row r="824" spans="31:33" x14ac:dyDescent="0.2">
      <c r="AE824" s="125">
        <f t="shared" si="41"/>
        <v>-809</v>
      </c>
      <c r="AF824" s="15">
        <f t="shared" si="39"/>
        <v>810</v>
      </c>
      <c r="AG824" s="15">
        <f t="shared" si="40"/>
        <v>-1</v>
      </c>
    </row>
    <row r="825" spans="31:33" x14ac:dyDescent="0.2">
      <c r="AE825" s="125">
        <f t="shared" si="41"/>
        <v>-810</v>
      </c>
      <c r="AF825" s="15">
        <f t="shared" si="39"/>
        <v>811</v>
      </c>
      <c r="AG825" s="15">
        <f t="shared" si="40"/>
        <v>-1</v>
      </c>
    </row>
    <row r="826" spans="31:33" x14ac:dyDescent="0.2">
      <c r="AE826" s="125">
        <f t="shared" si="41"/>
        <v>-811</v>
      </c>
      <c r="AF826" s="15">
        <f t="shared" si="39"/>
        <v>812</v>
      </c>
      <c r="AG826" s="15">
        <f t="shared" si="40"/>
        <v>-1</v>
      </c>
    </row>
    <row r="827" spans="31:33" x14ac:dyDescent="0.2">
      <c r="AE827" s="125">
        <f t="shared" si="41"/>
        <v>-812</v>
      </c>
      <c r="AF827" s="15">
        <f t="shared" si="39"/>
        <v>813</v>
      </c>
      <c r="AG827" s="15">
        <f t="shared" si="40"/>
        <v>-1</v>
      </c>
    </row>
    <row r="828" spans="31:33" x14ac:dyDescent="0.2">
      <c r="AE828" s="125">
        <f t="shared" si="41"/>
        <v>-813</v>
      </c>
      <c r="AF828" s="15">
        <f t="shared" si="39"/>
        <v>814</v>
      </c>
      <c r="AG828" s="15">
        <f t="shared" si="40"/>
        <v>-1</v>
      </c>
    </row>
    <row r="829" spans="31:33" x14ac:dyDescent="0.2">
      <c r="AE829" s="125">
        <f t="shared" si="41"/>
        <v>-814</v>
      </c>
      <c r="AF829" s="15">
        <f t="shared" si="39"/>
        <v>815</v>
      </c>
      <c r="AG829" s="15">
        <f t="shared" si="40"/>
        <v>-1</v>
      </c>
    </row>
    <row r="830" spans="31:33" x14ac:dyDescent="0.2">
      <c r="AE830" s="125">
        <f t="shared" si="41"/>
        <v>-815</v>
      </c>
      <c r="AF830" s="15">
        <f t="shared" si="39"/>
        <v>816</v>
      </c>
      <c r="AG830" s="15">
        <f t="shared" si="40"/>
        <v>-1</v>
      </c>
    </row>
    <row r="831" spans="31:33" x14ac:dyDescent="0.2">
      <c r="AE831" s="125">
        <f t="shared" si="41"/>
        <v>-816</v>
      </c>
      <c r="AF831" s="15">
        <f t="shared" si="39"/>
        <v>817</v>
      </c>
      <c r="AG831" s="15">
        <f t="shared" si="40"/>
        <v>-1</v>
      </c>
    </row>
    <row r="832" spans="31:33" x14ac:dyDescent="0.2">
      <c r="AE832" s="125">
        <f t="shared" si="41"/>
        <v>-817</v>
      </c>
      <c r="AF832" s="15">
        <f t="shared" si="39"/>
        <v>818</v>
      </c>
      <c r="AG832" s="15">
        <f t="shared" si="40"/>
        <v>-1</v>
      </c>
    </row>
    <row r="833" spans="31:33" x14ac:dyDescent="0.2">
      <c r="AE833" s="125">
        <f t="shared" si="41"/>
        <v>-818</v>
      </c>
      <c r="AF833" s="15">
        <f t="shared" si="39"/>
        <v>819</v>
      </c>
      <c r="AG833" s="15">
        <f t="shared" si="40"/>
        <v>-1</v>
      </c>
    </row>
    <row r="834" spans="31:33" x14ac:dyDescent="0.2">
      <c r="AE834" s="125">
        <f t="shared" si="41"/>
        <v>-819</v>
      </c>
      <c r="AF834" s="15">
        <f t="shared" si="39"/>
        <v>820</v>
      </c>
      <c r="AG834" s="15">
        <f t="shared" si="40"/>
        <v>-1</v>
      </c>
    </row>
    <row r="835" spans="31:33" x14ac:dyDescent="0.2">
      <c r="AE835" s="125">
        <f t="shared" si="41"/>
        <v>-820</v>
      </c>
      <c r="AF835" s="15">
        <f t="shared" si="39"/>
        <v>821</v>
      </c>
      <c r="AG835" s="15">
        <f t="shared" si="40"/>
        <v>-1</v>
      </c>
    </row>
    <row r="836" spans="31:33" x14ac:dyDescent="0.2">
      <c r="AE836" s="125">
        <f t="shared" si="41"/>
        <v>-821</v>
      </c>
      <c r="AF836" s="15">
        <f t="shared" ref="AF836:AF899" si="42">IF(AF835&gt;=1,AF835+1,IF(AE836=0,1,-1))</f>
        <v>822</v>
      </c>
      <c r="AG836" s="15">
        <f t="shared" ref="AG836:AG899" si="43">IF(AND(AG835&gt;=1,AG835&lt;$AD$3),AG835+1,IF(AE836=0,1,-1))</f>
        <v>-1</v>
      </c>
    </row>
    <row r="837" spans="31:33" x14ac:dyDescent="0.2">
      <c r="AE837" s="125">
        <f t="shared" ref="AE837:AE900" si="44">AE836-1</f>
        <v>-822</v>
      </c>
      <c r="AF837" s="15">
        <f t="shared" si="42"/>
        <v>823</v>
      </c>
      <c r="AG837" s="15">
        <f t="shared" si="43"/>
        <v>-1</v>
      </c>
    </row>
    <row r="838" spans="31:33" x14ac:dyDescent="0.2">
      <c r="AE838" s="125">
        <f t="shared" si="44"/>
        <v>-823</v>
      </c>
      <c r="AF838" s="15">
        <f t="shared" si="42"/>
        <v>824</v>
      </c>
      <c r="AG838" s="15">
        <f t="shared" si="43"/>
        <v>-1</v>
      </c>
    </row>
    <row r="839" spans="31:33" x14ac:dyDescent="0.2">
      <c r="AE839" s="125">
        <f t="shared" si="44"/>
        <v>-824</v>
      </c>
      <c r="AF839" s="15">
        <f t="shared" si="42"/>
        <v>825</v>
      </c>
      <c r="AG839" s="15">
        <f t="shared" si="43"/>
        <v>-1</v>
      </c>
    </row>
    <row r="840" spans="31:33" x14ac:dyDescent="0.2">
      <c r="AE840" s="125">
        <f t="shared" si="44"/>
        <v>-825</v>
      </c>
      <c r="AF840" s="15">
        <f t="shared" si="42"/>
        <v>826</v>
      </c>
      <c r="AG840" s="15">
        <f t="shared" si="43"/>
        <v>-1</v>
      </c>
    </row>
    <row r="841" spans="31:33" x14ac:dyDescent="0.2">
      <c r="AE841" s="125">
        <f t="shared" si="44"/>
        <v>-826</v>
      </c>
      <c r="AF841" s="15">
        <f t="shared" si="42"/>
        <v>827</v>
      </c>
      <c r="AG841" s="15">
        <f t="shared" si="43"/>
        <v>-1</v>
      </c>
    </row>
    <row r="842" spans="31:33" x14ac:dyDescent="0.2">
      <c r="AE842" s="125">
        <f t="shared" si="44"/>
        <v>-827</v>
      </c>
      <c r="AF842" s="15">
        <f t="shared" si="42"/>
        <v>828</v>
      </c>
      <c r="AG842" s="15">
        <f t="shared" si="43"/>
        <v>-1</v>
      </c>
    </row>
    <row r="843" spans="31:33" x14ac:dyDescent="0.2">
      <c r="AE843" s="125">
        <f t="shared" si="44"/>
        <v>-828</v>
      </c>
      <c r="AF843" s="15">
        <f t="shared" si="42"/>
        <v>829</v>
      </c>
      <c r="AG843" s="15">
        <f t="shared" si="43"/>
        <v>-1</v>
      </c>
    </row>
    <row r="844" spans="31:33" x14ac:dyDescent="0.2">
      <c r="AE844" s="125">
        <f t="shared" si="44"/>
        <v>-829</v>
      </c>
      <c r="AF844" s="15">
        <f t="shared" si="42"/>
        <v>830</v>
      </c>
      <c r="AG844" s="15">
        <f t="shared" si="43"/>
        <v>-1</v>
      </c>
    </row>
    <row r="845" spans="31:33" x14ac:dyDescent="0.2">
      <c r="AE845" s="125">
        <f t="shared" si="44"/>
        <v>-830</v>
      </c>
      <c r="AF845" s="15">
        <f t="shared" si="42"/>
        <v>831</v>
      </c>
      <c r="AG845" s="15">
        <f t="shared" si="43"/>
        <v>-1</v>
      </c>
    </row>
    <row r="846" spans="31:33" x14ac:dyDescent="0.2">
      <c r="AE846" s="125">
        <f t="shared" si="44"/>
        <v>-831</v>
      </c>
      <c r="AF846" s="15">
        <f t="shared" si="42"/>
        <v>832</v>
      </c>
      <c r="AG846" s="15">
        <f t="shared" si="43"/>
        <v>-1</v>
      </c>
    </row>
    <row r="847" spans="31:33" x14ac:dyDescent="0.2">
      <c r="AE847" s="125">
        <f t="shared" si="44"/>
        <v>-832</v>
      </c>
      <c r="AF847" s="15">
        <f t="shared" si="42"/>
        <v>833</v>
      </c>
      <c r="AG847" s="15">
        <f t="shared" si="43"/>
        <v>-1</v>
      </c>
    </row>
    <row r="848" spans="31:33" x14ac:dyDescent="0.2">
      <c r="AE848" s="125">
        <f t="shared" si="44"/>
        <v>-833</v>
      </c>
      <c r="AF848" s="15">
        <f t="shared" si="42"/>
        <v>834</v>
      </c>
      <c r="AG848" s="15">
        <f t="shared" si="43"/>
        <v>-1</v>
      </c>
    </row>
    <row r="849" spans="31:33" x14ac:dyDescent="0.2">
      <c r="AE849" s="125">
        <f t="shared" si="44"/>
        <v>-834</v>
      </c>
      <c r="AF849" s="15">
        <f t="shared" si="42"/>
        <v>835</v>
      </c>
      <c r="AG849" s="15">
        <f t="shared" si="43"/>
        <v>-1</v>
      </c>
    </row>
    <row r="850" spans="31:33" x14ac:dyDescent="0.2">
      <c r="AE850" s="125">
        <f t="shared" si="44"/>
        <v>-835</v>
      </c>
      <c r="AF850" s="15">
        <f t="shared" si="42"/>
        <v>836</v>
      </c>
      <c r="AG850" s="15">
        <f t="shared" si="43"/>
        <v>-1</v>
      </c>
    </row>
    <row r="851" spans="31:33" x14ac:dyDescent="0.2">
      <c r="AE851" s="125">
        <f t="shared" si="44"/>
        <v>-836</v>
      </c>
      <c r="AF851" s="15">
        <f t="shared" si="42"/>
        <v>837</v>
      </c>
      <c r="AG851" s="15">
        <f t="shared" si="43"/>
        <v>-1</v>
      </c>
    </row>
    <row r="852" spans="31:33" x14ac:dyDescent="0.2">
      <c r="AE852" s="125">
        <f t="shared" si="44"/>
        <v>-837</v>
      </c>
      <c r="AF852" s="15">
        <f t="shared" si="42"/>
        <v>838</v>
      </c>
      <c r="AG852" s="15">
        <f t="shared" si="43"/>
        <v>-1</v>
      </c>
    </row>
    <row r="853" spans="31:33" x14ac:dyDescent="0.2">
      <c r="AE853" s="125">
        <f t="shared" si="44"/>
        <v>-838</v>
      </c>
      <c r="AF853" s="15">
        <f t="shared" si="42"/>
        <v>839</v>
      </c>
      <c r="AG853" s="15">
        <f t="shared" si="43"/>
        <v>-1</v>
      </c>
    </row>
    <row r="854" spans="31:33" x14ac:dyDescent="0.2">
      <c r="AE854" s="125">
        <f t="shared" si="44"/>
        <v>-839</v>
      </c>
      <c r="AF854" s="15">
        <f t="shared" si="42"/>
        <v>840</v>
      </c>
      <c r="AG854" s="15">
        <f t="shared" si="43"/>
        <v>-1</v>
      </c>
    </row>
    <row r="855" spans="31:33" x14ac:dyDescent="0.2">
      <c r="AE855" s="125">
        <f t="shared" si="44"/>
        <v>-840</v>
      </c>
      <c r="AF855" s="15">
        <f t="shared" si="42"/>
        <v>841</v>
      </c>
      <c r="AG855" s="15">
        <f t="shared" si="43"/>
        <v>-1</v>
      </c>
    </row>
    <row r="856" spans="31:33" x14ac:dyDescent="0.2">
      <c r="AE856" s="125">
        <f t="shared" si="44"/>
        <v>-841</v>
      </c>
      <c r="AF856" s="15">
        <f t="shared" si="42"/>
        <v>842</v>
      </c>
      <c r="AG856" s="15">
        <f t="shared" si="43"/>
        <v>-1</v>
      </c>
    </row>
    <row r="857" spans="31:33" x14ac:dyDescent="0.2">
      <c r="AE857" s="125">
        <f t="shared" si="44"/>
        <v>-842</v>
      </c>
      <c r="AF857" s="15">
        <f t="shared" si="42"/>
        <v>843</v>
      </c>
      <c r="AG857" s="15">
        <f t="shared" si="43"/>
        <v>-1</v>
      </c>
    </row>
    <row r="858" spans="31:33" x14ac:dyDescent="0.2">
      <c r="AE858" s="125">
        <f t="shared" si="44"/>
        <v>-843</v>
      </c>
      <c r="AF858" s="15">
        <f t="shared" si="42"/>
        <v>844</v>
      </c>
      <c r="AG858" s="15">
        <f t="shared" si="43"/>
        <v>-1</v>
      </c>
    </row>
    <row r="859" spans="31:33" x14ac:dyDescent="0.2">
      <c r="AE859" s="125">
        <f t="shared" si="44"/>
        <v>-844</v>
      </c>
      <c r="AF859" s="15">
        <f t="shared" si="42"/>
        <v>845</v>
      </c>
      <c r="AG859" s="15">
        <f t="shared" si="43"/>
        <v>-1</v>
      </c>
    </row>
    <row r="860" spans="31:33" x14ac:dyDescent="0.2">
      <c r="AE860" s="125">
        <f t="shared" si="44"/>
        <v>-845</v>
      </c>
      <c r="AF860" s="15">
        <f t="shared" si="42"/>
        <v>846</v>
      </c>
      <c r="AG860" s="15">
        <f t="shared" si="43"/>
        <v>-1</v>
      </c>
    </row>
    <row r="861" spans="31:33" x14ac:dyDescent="0.2">
      <c r="AE861" s="125">
        <f t="shared" si="44"/>
        <v>-846</v>
      </c>
      <c r="AF861" s="15">
        <f t="shared" si="42"/>
        <v>847</v>
      </c>
      <c r="AG861" s="15">
        <f t="shared" si="43"/>
        <v>-1</v>
      </c>
    </row>
    <row r="862" spans="31:33" x14ac:dyDescent="0.2">
      <c r="AE862" s="125">
        <f t="shared" si="44"/>
        <v>-847</v>
      </c>
      <c r="AF862" s="15">
        <f t="shared" si="42"/>
        <v>848</v>
      </c>
      <c r="AG862" s="15">
        <f t="shared" si="43"/>
        <v>-1</v>
      </c>
    </row>
    <row r="863" spans="31:33" x14ac:dyDescent="0.2">
      <c r="AE863" s="125">
        <f t="shared" si="44"/>
        <v>-848</v>
      </c>
      <c r="AF863" s="15">
        <f t="shared" si="42"/>
        <v>849</v>
      </c>
      <c r="AG863" s="15">
        <f t="shared" si="43"/>
        <v>-1</v>
      </c>
    </row>
    <row r="864" spans="31:33" x14ac:dyDescent="0.2">
      <c r="AE864" s="125">
        <f t="shared" si="44"/>
        <v>-849</v>
      </c>
      <c r="AF864" s="15">
        <f t="shared" si="42"/>
        <v>850</v>
      </c>
      <c r="AG864" s="15">
        <f t="shared" si="43"/>
        <v>-1</v>
      </c>
    </row>
    <row r="865" spans="31:33" x14ac:dyDescent="0.2">
      <c r="AE865" s="125">
        <f t="shared" si="44"/>
        <v>-850</v>
      </c>
      <c r="AF865" s="15">
        <f t="shared" si="42"/>
        <v>851</v>
      </c>
      <c r="AG865" s="15">
        <f t="shared" si="43"/>
        <v>-1</v>
      </c>
    </row>
    <row r="866" spans="31:33" x14ac:dyDescent="0.2">
      <c r="AE866" s="125">
        <f t="shared" si="44"/>
        <v>-851</v>
      </c>
      <c r="AF866" s="15">
        <f t="shared" si="42"/>
        <v>852</v>
      </c>
      <c r="AG866" s="15">
        <f t="shared" si="43"/>
        <v>-1</v>
      </c>
    </row>
    <row r="867" spans="31:33" x14ac:dyDescent="0.2">
      <c r="AE867" s="125">
        <f t="shared" si="44"/>
        <v>-852</v>
      </c>
      <c r="AF867" s="15">
        <f t="shared" si="42"/>
        <v>853</v>
      </c>
      <c r="AG867" s="15">
        <f t="shared" si="43"/>
        <v>-1</v>
      </c>
    </row>
    <row r="868" spans="31:33" x14ac:dyDescent="0.2">
      <c r="AE868" s="125">
        <f t="shared" si="44"/>
        <v>-853</v>
      </c>
      <c r="AF868" s="15">
        <f t="shared" si="42"/>
        <v>854</v>
      </c>
      <c r="AG868" s="15">
        <f t="shared" si="43"/>
        <v>-1</v>
      </c>
    </row>
    <row r="869" spans="31:33" x14ac:dyDescent="0.2">
      <c r="AE869" s="125">
        <f t="shared" si="44"/>
        <v>-854</v>
      </c>
      <c r="AF869" s="15">
        <f t="shared" si="42"/>
        <v>855</v>
      </c>
      <c r="AG869" s="15">
        <f t="shared" si="43"/>
        <v>-1</v>
      </c>
    </row>
    <row r="870" spans="31:33" x14ac:dyDescent="0.2">
      <c r="AE870" s="125">
        <f t="shared" si="44"/>
        <v>-855</v>
      </c>
      <c r="AF870" s="15">
        <f t="shared" si="42"/>
        <v>856</v>
      </c>
      <c r="AG870" s="15">
        <f t="shared" si="43"/>
        <v>-1</v>
      </c>
    </row>
    <row r="871" spans="31:33" x14ac:dyDescent="0.2">
      <c r="AE871" s="125">
        <f t="shared" si="44"/>
        <v>-856</v>
      </c>
      <c r="AF871" s="15">
        <f t="shared" si="42"/>
        <v>857</v>
      </c>
      <c r="AG871" s="15">
        <f t="shared" si="43"/>
        <v>-1</v>
      </c>
    </row>
    <row r="872" spans="31:33" x14ac:dyDescent="0.2">
      <c r="AE872" s="125">
        <f t="shared" si="44"/>
        <v>-857</v>
      </c>
      <c r="AF872" s="15">
        <f t="shared" si="42"/>
        <v>858</v>
      </c>
      <c r="AG872" s="15">
        <f t="shared" si="43"/>
        <v>-1</v>
      </c>
    </row>
    <row r="873" spans="31:33" x14ac:dyDescent="0.2">
      <c r="AE873" s="125">
        <f t="shared" si="44"/>
        <v>-858</v>
      </c>
      <c r="AF873" s="15">
        <f t="shared" si="42"/>
        <v>859</v>
      </c>
      <c r="AG873" s="15">
        <f t="shared" si="43"/>
        <v>-1</v>
      </c>
    </row>
    <row r="874" spans="31:33" x14ac:dyDescent="0.2">
      <c r="AE874" s="125">
        <f t="shared" si="44"/>
        <v>-859</v>
      </c>
      <c r="AF874" s="15">
        <f t="shared" si="42"/>
        <v>860</v>
      </c>
      <c r="AG874" s="15">
        <f t="shared" si="43"/>
        <v>-1</v>
      </c>
    </row>
    <row r="875" spans="31:33" x14ac:dyDescent="0.2">
      <c r="AE875" s="125">
        <f t="shared" si="44"/>
        <v>-860</v>
      </c>
      <c r="AF875" s="15">
        <f t="shared" si="42"/>
        <v>861</v>
      </c>
      <c r="AG875" s="15">
        <f t="shared" si="43"/>
        <v>-1</v>
      </c>
    </row>
    <row r="876" spans="31:33" x14ac:dyDescent="0.2">
      <c r="AE876" s="125">
        <f t="shared" si="44"/>
        <v>-861</v>
      </c>
      <c r="AF876" s="15">
        <f t="shared" si="42"/>
        <v>862</v>
      </c>
      <c r="AG876" s="15">
        <f t="shared" si="43"/>
        <v>-1</v>
      </c>
    </row>
    <row r="877" spans="31:33" x14ac:dyDescent="0.2">
      <c r="AE877" s="125">
        <f t="shared" si="44"/>
        <v>-862</v>
      </c>
      <c r="AF877" s="15">
        <f t="shared" si="42"/>
        <v>863</v>
      </c>
      <c r="AG877" s="15">
        <f t="shared" si="43"/>
        <v>-1</v>
      </c>
    </row>
    <row r="878" spans="31:33" x14ac:dyDescent="0.2">
      <c r="AE878" s="125">
        <f t="shared" si="44"/>
        <v>-863</v>
      </c>
      <c r="AF878" s="15">
        <f t="shared" si="42"/>
        <v>864</v>
      </c>
      <c r="AG878" s="15">
        <f t="shared" si="43"/>
        <v>-1</v>
      </c>
    </row>
    <row r="879" spans="31:33" x14ac:dyDescent="0.2">
      <c r="AE879" s="125">
        <f t="shared" si="44"/>
        <v>-864</v>
      </c>
      <c r="AF879" s="15">
        <f t="shared" si="42"/>
        <v>865</v>
      </c>
      <c r="AG879" s="15">
        <f t="shared" si="43"/>
        <v>-1</v>
      </c>
    </row>
    <row r="880" spans="31:33" x14ac:dyDescent="0.2">
      <c r="AE880" s="125">
        <f t="shared" si="44"/>
        <v>-865</v>
      </c>
      <c r="AF880" s="15">
        <f t="shared" si="42"/>
        <v>866</v>
      </c>
      <c r="AG880" s="15">
        <f t="shared" si="43"/>
        <v>-1</v>
      </c>
    </row>
    <row r="881" spans="31:33" x14ac:dyDescent="0.2">
      <c r="AE881" s="125">
        <f t="shared" si="44"/>
        <v>-866</v>
      </c>
      <c r="AF881" s="15">
        <f t="shared" si="42"/>
        <v>867</v>
      </c>
      <c r="AG881" s="15">
        <f t="shared" si="43"/>
        <v>-1</v>
      </c>
    </row>
    <row r="882" spans="31:33" x14ac:dyDescent="0.2">
      <c r="AE882" s="125">
        <f t="shared" si="44"/>
        <v>-867</v>
      </c>
      <c r="AF882" s="15">
        <f t="shared" si="42"/>
        <v>868</v>
      </c>
      <c r="AG882" s="15">
        <f t="shared" si="43"/>
        <v>-1</v>
      </c>
    </row>
    <row r="883" spans="31:33" x14ac:dyDescent="0.2">
      <c r="AE883" s="125">
        <f t="shared" si="44"/>
        <v>-868</v>
      </c>
      <c r="AF883" s="15">
        <f t="shared" si="42"/>
        <v>869</v>
      </c>
      <c r="AG883" s="15">
        <f t="shared" si="43"/>
        <v>-1</v>
      </c>
    </row>
    <row r="884" spans="31:33" x14ac:dyDescent="0.2">
      <c r="AE884" s="125">
        <f t="shared" si="44"/>
        <v>-869</v>
      </c>
      <c r="AF884" s="15">
        <f t="shared" si="42"/>
        <v>870</v>
      </c>
      <c r="AG884" s="15">
        <f t="shared" si="43"/>
        <v>-1</v>
      </c>
    </row>
    <row r="885" spans="31:33" x14ac:dyDescent="0.2">
      <c r="AE885" s="125">
        <f t="shared" si="44"/>
        <v>-870</v>
      </c>
      <c r="AF885" s="15">
        <f t="shared" si="42"/>
        <v>871</v>
      </c>
      <c r="AG885" s="15">
        <f t="shared" si="43"/>
        <v>-1</v>
      </c>
    </row>
    <row r="886" spans="31:33" x14ac:dyDescent="0.2">
      <c r="AE886" s="125">
        <f t="shared" si="44"/>
        <v>-871</v>
      </c>
      <c r="AF886" s="15">
        <f t="shared" si="42"/>
        <v>872</v>
      </c>
      <c r="AG886" s="15">
        <f t="shared" si="43"/>
        <v>-1</v>
      </c>
    </row>
    <row r="887" spans="31:33" x14ac:dyDescent="0.2">
      <c r="AE887" s="125">
        <f t="shared" si="44"/>
        <v>-872</v>
      </c>
      <c r="AF887" s="15">
        <f t="shared" si="42"/>
        <v>873</v>
      </c>
      <c r="AG887" s="15">
        <f t="shared" si="43"/>
        <v>-1</v>
      </c>
    </row>
    <row r="888" spans="31:33" x14ac:dyDescent="0.2">
      <c r="AE888" s="125">
        <f t="shared" si="44"/>
        <v>-873</v>
      </c>
      <c r="AF888" s="15">
        <f t="shared" si="42"/>
        <v>874</v>
      </c>
      <c r="AG888" s="15">
        <f t="shared" si="43"/>
        <v>-1</v>
      </c>
    </row>
    <row r="889" spans="31:33" x14ac:dyDescent="0.2">
      <c r="AE889" s="125">
        <f t="shared" si="44"/>
        <v>-874</v>
      </c>
      <c r="AF889" s="15">
        <f t="shared" si="42"/>
        <v>875</v>
      </c>
      <c r="AG889" s="15">
        <f t="shared" si="43"/>
        <v>-1</v>
      </c>
    </row>
    <row r="890" spans="31:33" x14ac:dyDescent="0.2">
      <c r="AE890" s="125">
        <f t="shared" si="44"/>
        <v>-875</v>
      </c>
      <c r="AF890" s="15">
        <f t="shared" si="42"/>
        <v>876</v>
      </c>
      <c r="AG890" s="15">
        <f t="shared" si="43"/>
        <v>-1</v>
      </c>
    </row>
    <row r="891" spans="31:33" x14ac:dyDescent="0.2">
      <c r="AE891" s="125">
        <f t="shared" si="44"/>
        <v>-876</v>
      </c>
      <c r="AF891" s="15">
        <f t="shared" si="42"/>
        <v>877</v>
      </c>
      <c r="AG891" s="15">
        <f t="shared" si="43"/>
        <v>-1</v>
      </c>
    </row>
    <row r="892" spans="31:33" x14ac:dyDescent="0.2">
      <c r="AE892" s="125">
        <f t="shared" si="44"/>
        <v>-877</v>
      </c>
      <c r="AF892" s="15">
        <f t="shared" si="42"/>
        <v>878</v>
      </c>
      <c r="AG892" s="15">
        <f t="shared" si="43"/>
        <v>-1</v>
      </c>
    </row>
    <row r="893" spans="31:33" x14ac:dyDescent="0.2">
      <c r="AE893" s="125">
        <f t="shared" si="44"/>
        <v>-878</v>
      </c>
      <c r="AF893" s="15">
        <f t="shared" si="42"/>
        <v>879</v>
      </c>
      <c r="AG893" s="15">
        <f t="shared" si="43"/>
        <v>-1</v>
      </c>
    </row>
    <row r="894" spans="31:33" x14ac:dyDescent="0.2">
      <c r="AE894" s="125">
        <f t="shared" si="44"/>
        <v>-879</v>
      </c>
      <c r="AF894" s="15">
        <f t="shared" si="42"/>
        <v>880</v>
      </c>
      <c r="AG894" s="15">
        <f t="shared" si="43"/>
        <v>-1</v>
      </c>
    </row>
    <row r="895" spans="31:33" x14ac:dyDescent="0.2">
      <c r="AE895" s="125">
        <f t="shared" si="44"/>
        <v>-880</v>
      </c>
      <c r="AF895" s="15">
        <f t="shared" si="42"/>
        <v>881</v>
      </c>
      <c r="AG895" s="15">
        <f t="shared" si="43"/>
        <v>-1</v>
      </c>
    </row>
    <row r="896" spans="31:33" x14ac:dyDescent="0.2">
      <c r="AE896" s="125">
        <f t="shared" si="44"/>
        <v>-881</v>
      </c>
      <c r="AF896" s="15">
        <f t="shared" si="42"/>
        <v>882</v>
      </c>
      <c r="AG896" s="15">
        <f t="shared" si="43"/>
        <v>-1</v>
      </c>
    </row>
    <row r="897" spans="31:33" x14ac:dyDescent="0.2">
      <c r="AE897" s="125">
        <f t="shared" si="44"/>
        <v>-882</v>
      </c>
      <c r="AF897" s="15">
        <f t="shared" si="42"/>
        <v>883</v>
      </c>
      <c r="AG897" s="15">
        <f t="shared" si="43"/>
        <v>-1</v>
      </c>
    </row>
    <row r="898" spans="31:33" x14ac:dyDescent="0.2">
      <c r="AE898" s="125">
        <f t="shared" si="44"/>
        <v>-883</v>
      </c>
      <c r="AF898" s="15">
        <f t="shared" si="42"/>
        <v>884</v>
      </c>
      <c r="AG898" s="15">
        <f t="shared" si="43"/>
        <v>-1</v>
      </c>
    </row>
    <row r="899" spans="31:33" x14ac:dyDescent="0.2">
      <c r="AE899" s="125">
        <f t="shared" si="44"/>
        <v>-884</v>
      </c>
      <c r="AF899" s="15">
        <f t="shared" si="42"/>
        <v>885</v>
      </c>
      <c r="AG899" s="15">
        <f t="shared" si="43"/>
        <v>-1</v>
      </c>
    </row>
    <row r="900" spans="31:33" x14ac:dyDescent="0.2">
      <c r="AE900" s="125">
        <f t="shared" si="44"/>
        <v>-885</v>
      </c>
      <c r="AF900" s="15">
        <f t="shared" ref="AF900:AF963" si="45">IF(AF899&gt;=1,AF899+1,IF(AE900=0,1,-1))</f>
        <v>886</v>
      </c>
      <c r="AG900" s="15">
        <f t="shared" ref="AG900:AG963" si="46">IF(AND(AG899&gt;=1,AG899&lt;$AD$3),AG899+1,IF(AE900=0,1,-1))</f>
        <v>-1</v>
      </c>
    </row>
    <row r="901" spans="31:33" x14ac:dyDescent="0.2">
      <c r="AE901" s="125">
        <f t="shared" ref="AE901:AE964" si="47">AE900-1</f>
        <v>-886</v>
      </c>
      <c r="AF901" s="15">
        <f t="shared" si="45"/>
        <v>887</v>
      </c>
      <c r="AG901" s="15">
        <f t="shared" si="46"/>
        <v>-1</v>
      </c>
    </row>
    <row r="902" spans="31:33" x14ac:dyDescent="0.2">
      <c r="AE902" s="125">
        <f t="shared" si="47"/>
        <v>-887</v>
      </c>
      <c r="AF902" s="15">
        <f t="shared" si="45"/>
        <v>888</v>
      </c>
      <c r="AG902" s="15">
        <f t="shared" si="46"/>
        <v>-1</v>
      </c>
    </row>
    <row r="903" spans="31:33" x14ac:dyDescent="0.2">
      <c r="AE903" s="125">
        <f t="shared" si="47"/>
        <v>-888</v>
      </c>
      <c r="AF903" s="15">
        <f t="shared" si="45"/>
        <v>889</v>
      </c>
      <c r="AG903" s="15">
        <f t="shared" si="46"/>
        <v>-1</v>
      </c>
    </row>
    <row r="904" spans="31:33" x14ac:dyDescent="0.2">
      <c r="AE904" s="125">
        <f t="shared" si="47"/>
        <v>-889</v>
      </c>
      <c r="AF904" s="15">
        <f t="shared" si="45"/>
        <v>890</v>
      </c>
      <c r="AG904" s="15">
        <f t="shared" si="46"/>
        <v>-1</v>
      </c>
    </row>
    <row r="905" spans="31:33" x14ac:dyDescent="0.2">
      <c r="AE905" s="125">
        <f t="shared" si="47"/>
        <v>-890</v>
      </c>
      <c r="AF905" s="15">
        <f t="shared" si="45"/>
        <v>891</v>
      </c>
      <c r="AG905" s="15">
        <f t="shared" si="46"/>
        <v>-1</v>
      </c>
    </row>
    <row r="906" spans="31:33" x14ac:dyDescent="0.2">
      <c r="AE906" s="125">
        <f t="shared" si="47"/>
        <v>-891</v>
      </c>
      <c r="AF906" s="15">
        <f t="shared" si="45"/>
        <v>892</v>
      </c>
      <c r="AG906" s="15">
        <f t="shared" si="46"/>
        <v>-1</v>
      </c>
    </row>
    <row r="907" spans="31:33" x14ac:dyDescent="0.2">
      <c r="AE907" s="125">
        <f t="shared" si="47"/>
        <v>-892</v>
      </c>
      <c r="AF907" s="15">
        <f t="shared" si="45"/>
        <v>893</v>
      </c>
      <c r="AG907" s="15">
        <f t="shared" si="46"/>
        <v>-1</v>
      </c>
    </row>
    <row r="908" spans="31:33" x14ac:dyDescent="0.2">
      <c r="AE908" s="125">
        <f t="shared" si="47"/>
        <v>-893</v>
      </c>
      <c r="AF908" s="15">
        <f t="shared" si="45"/>
        <v>894</v>
      </c>
      <c r="AG908" s="15">
        <f t="shared" si="46"/>
        <v>-1</v>
      </c>
    </row>
    <row r="909" spans="31:33" x14ac:dyDescent="0.2">
      <c r="AE909" s="125">
        <f t="shared" si="47"/>
        <v>-894</v>
      </c>
      <c r="AF909" s="15">
        <f t="shared" si="45"/>
        <v>895</v>
      </c>
      <c r="AG909" s="15">
        <f t="shared" si="46"/>
        <v>-1</v>
      </c>
    </row>
    <row r="910" spans="31:33" x14ac:dyDescent="0.2">
      <c r="AE910" s="125">
        <f t="shared" si="47"/>
        <v>-895</v>
      </c>
      <c r="AF910" s="15">
        <f t="shared" si="45"/>
        <v>896</v>
      </c>
      <c r="AG910" s="15">
        <f t="shared" si="46"/>
        <v>-1</v>
      </c>
    </row>
    <row r="911" spans="31:33" x14ac:dyDescent="0.2">
      <c r="AE911" s="125">
        <f t="shared" si="47"/>
        <v>-896</v>
      </c>
      <c r="AF911" s="15">
        <f t="shared" si="45"/>
        <v>897</v>
      </c>
      <c r="AG911" s="15">
        <f t="shared" si="46"/>
        <v>-1</v>
      </c>
    </row>
    <row r="912" spans="31:33" x14ac:dyDescent="0.2">
      <c r="AE912" s="125">
        <f t="shared" si="47"/>
        <v>-897</v>
      </c>
      <c r="AF912" s="15">
        <f t="shared" si="45"/>
        <v>898</v>
      </c>
      <c r="AG912" s="15">
        <f t="shared" si="46"/>
        <v>-1</v>
      </c>
    </row>
    <row r="913" spans="31:33" x14ac:dyDescent="0.2">
      <c r="AE913" s="125">
        <f t="shared" si="47"/>
        <v>-898</v>
      </c>
      <c r="AF913" s="15">
        <f t="shared" si="45"/>
        <v>899</v>
      </c>
      <c r="AG913" s="15">
        <f t="shared" si="46"/>
        <v>-1</v>
      </c>
    </row>
    <row r="914" spans="31:33" x14ac:dyDescent="0.2">
      <c r="AE914" s="125">
        <f t="shared" si="47"/>
        <v>-899</v>
      </c>
      <c r="AF914" s="15">
        <f t="shared" si="45"/>
        <v>900</v>
      </c>
      <c r="AG914" s="15">
        <f t="shared" si="46"/>
        <v>-1</v>
      </c>
    </row>
    <row r="915" spans="31:33" x14ac:dyDescent="0.2">
      <c r="AE915" s="125">
        <f t="shared" si="47"/>
        <v>-900</v>
      </c>
      <c r="AF915" s="15">
        <f t="shared" si="45"/>
        <v>901</v>
      </c>
      <c r="AG915" s="15">
        <f t="shared" si="46"/>
        <v>-1</v>
      </c>
    </row>
    <row r="916" spans="31:33" x14ac:dyDescent="0.2">
      <c r="AE916" s="125">
        <f t="shared" si="47"/>
        <v>-901</v>
      </c>
      <c r="AF916" s="15">
        <f t="shared" si="45"/>
        <v>902</v>
      </c>
      <c r="AG916" s="15">
        <f t="shared" si="46"/>
        <v>-1</v>
      </c>
    </row>
    <row r="917" spans="31:33" x14ac:dyDescent="0.2">
      <c r="AE917" s="125">
        <f t="shared" si="47"/>
        <v>-902</v>
      </c>
      <c r="AF917" s="15">
        <f t="shared" si="45"/>
        <v>903</v>
      </c>
      <c r="AG917" s="15">
        <f t="shared" si="46"/>
        <v>-1</v>
      </c>
    </row>
    <row r="918" spans="31:33" x14ac:dyDescent="0.2">
      <c r="AE918" s="125">
        <f t="shared" si="47"/>
        <v>-903</v>
      </c>
      <c r="AF918" s="15">
        <f t="shared" si="45"/>
        <v>904</v>
      </c>
      <c r="AG918" s="15">
        <f t="shared" si="46"/>
        <v>-1</v>
      </c>
    </row>
    <row r="919" spans="31:33" x14ac:dyDescent="0.2">
      <c r="AE919" s="125">
        <f t="shared" si="47"/>
        <v>-904</v>
      </c>
      <c r="AF919" s="15">
        <f t="shared" si="45"/>
        <v>905</v>
      </c>
      <c r="AG919" s="15">
        <f t="shared" si="46"/>
        <v>-1</v>
      </c>
    </row>
    <row r="920" spans="31:33" x14ac:dyDescent="0.2">
      <c r="AE920" s="125">
        <f t="shared" si="47"/>
        <v>-905</v>
      </c>
      <c r="AF920" s="15">
        <f t="shared" si="45"/>
        <v>906</v>
      </c>
      <c r="AG920" s="15">
        <f t="shared" si="46"/>
        <v>-1</v>
      </c>
    </row>
    <row r="921" spans="31:33" x14ac:dyDescent="0.2">
      <c r="AE921" s="125">
        <f t="shared" si="47"/>
        <v>-906</v>
      </c>
      <c r="AF921" s="15">
        <f t="shared" si="45"/>
        <v>907</v>
      </c>
      <c r="AG921" s="15">
        <f t="shared" si="46"/>
        <v>-1</v>
      </c>
    </row>
    <row r="922" spans="31:33" x14ac:dyDescent="0.2">
      <c r="AE922" s="125">
        <f t="shared" si="47"/>
        <v>-907</v>
      </c>
      <c r="AF922" s="15">
        <f t="shared" si="45"/>
        <v>908</v>
      </c>
      <c r="AG922" s="15">
        <f t="shared" si="46"/>
        <v>-1</v>
      </c>
    </row>
    <row r="923" spans="31:33" x14ac:dyDescent="0.2">
      <c r="AE923" s="125">
        <f t="shared" si="47"/>
        <v>-908</v>
      </c>
      <c r="AF923" s="15">
        <f t="shared" si="45"/>
        <v>909</v>
      </c>
      <c r="AG923" s="15">
        <f t="shared" si="46"/>
        <v>-1</v>
      </c>
    </row>
    <row r="924" spans="31:33" x14ac:dyDescent="0.2">
      <c r="AE924" s="125">
        <f t="shared" si="47"/>
        <v>-909</v>
      </c>
      <c r="AF924" s="15">
        <f t="shared" si="45"/>
        <v>910</v>
      </c>
      <c r="AG924" s="15">
        <f t="shared" si="46"/>
        <v>-1</v>
      </c>
    </row>
    <row r="925" spans="31:33" x14ac:dyDescent="0.2">
      <c r="AE925" s="125">
        <f t="shared" si="47"/>
        <v>-910</v>
      </c>
      <c r="AF925" s="15">
        <f t="shared" si="45"/>
        <v>911</v>
      </c>
      <c r="AG925" s="15">
        <f t="shared" si="46"/>
        <v>-1</v>
      </c>
    </row>
    <row r="926" spans="31:33" x14ac:dyDescent="0.2">
      <c r="AE926" s="125">
        <f t="shared" si="47"/>
        <v>-911</v>
      </c>
      <c r="AF926" s="15">
        <f t="shared" si="45"/>
        <v>912</v>
      </c>
      <c r="AG926" s="15">
        <f t="shared" si="46"/>
        <v>-1</v>
      </c>
    </row>
    <row r="927" spans="31:33" x14ac:dyDescent="0.2">
      <c r="AE927" s="125">
        <f t="shared" si="47"/>
        <v>-912</v>
      </c>
      <c r="AF927" s="15">
        <f t="shared" si="45"/>
        <v>913</v>
      </c>
      <c r="AG927" s="15">
        <f t="shared" si="46"/>
        <v>-1</v>
      </c>
    </row>
    <row r="928" spans="31:33" x14ac:dyDescent="0.2">
      <c r="AE928" s="125">
        <f t="shared" si="47"/>
        <v>-913</v>
      </c>
      <c r="AF928" s="15">
        <f t="shared" si="45"/>
        <v>914</v>
      </c>
      <c r="AG928" s="15">
        <f t="shared" si="46"/>
        <v>-1</v>
      </c>
    </row>
    <row r="929" spans="31:33" x14ac:dyDescent="0.2">
      <c r="AE929" s="125">
        <f t="shared" si="47"/>
        <v>-914</v>
      </c>
      <c r="AF929" s="15">
        <f t="shared" si="45"/>
        <v>915</v>
      </c>
      <c r="AG929" s="15">
        <f t="shared" si="46"/>
        <v>-1</v>
      </c>
    </row>
    <row r="930" spans="31:33" x14ac:dyDescent="0.2">
      <c r="AE930" s="125">
        <f t="shared" si="47"/>
        <v>-915</v>
      </c>
      <c r="AF930" s="15">
        <f t="shared" si="45"/>
        <v>916</v>
      </c>
      <c r="AG930" s="15">
        <f t="shared" si="46"/>
        <v>-1</v>
      </c>
    </row>
    <row r="931" spans="31:33" x14ac:dyDescent="0.2">
      <c r="AE931" s="125">
        <f t="shared" si="47"/>
        <v>-916</v>
      </c>
      <c r="AF931" s="15">
        <f t="shared" si="45"/>
        <v>917</v>
      </c>
      <c r="AG931" s="15">
        <f t="shared" si="46"/>
        <v>-1</v>
      </c>
    </row>
    <row r="932" spans="31:33" x14ac:dyDescent="0.2">
      <c r="AE932" s="125">
        <f t="shared" si="47"/>
        <v>-917</v>
      </c>
      <c r="AF932" s="15">
        <f t="shared" si="45"/>
        <v>918</v>
      </c>
      <c r="AG932" s="15">
        <f t="shared" si="46"/>
        <v>-1</v>
      </c>
    </row>
    <row r="933" spans="31:33" x14ac:dyDescent="0.2">
      <c r="AE933" s="125">
        <f t="shared" si="47"/>
        <v>-918</v>
      </c>
      <c r="AF933" s="15">
        <f t="shared" si="45"/>
        <v>919</v>
      </c>
      <c r="AG933" s="15">
        <f t="shared" si="46"/>
        <v>-1</v>
      </c>
    </row>
    <row r="934" spans="31:33" x14ac:dyDescent="0.2">
      <c r="AE934" s="125">
        <f t="shared" si="47"/>
        <v>-919</v>
      </c>
      <c r="AF934" s="15">
        <f t="shared" si="45"/>
        <v>920</v>
      </c>
      <c r="AG934" s="15">
        <f t="shared" si="46"/>
        <v>-1</v>
      </c>
    </row>
    <row r="935" spans="31:33" x14ac:dyDescent="0.2">
      <c r="AE935" s="125">
        <f t="shared" si="47"/>
        <v>-920</v>
      </c>
      <c r="AF935" s="15">
        <f t="shared" si="45"/>
        <v>921</v>
      </c>
      <c r="AG935" s="15">
        <f t="shared" si="46"/>
        <v>-1</v>
      </c>
    </row>
    <row r="936" spans="31:33" x14ac:dyDescent="0.2">
      <c r="AE936" s="125">
        <f t="shared" si="47"/>
        <v>-921</v>
      </c>
      <c r="AF936" s="15">
        <f t="shared" si="45"/>
        <v>922</v>
      </c>
      <c r="AG936" s="15">
        <f t="shared" si="46"/>
        <v>-1</v>
      </c>
    </row>
    <row r="937" spans="31:33" x14ac:dyDescent="0.2">
      <c r="AE937" s="125">
        <f t="shared" si="47"/>
        <v>-922</v>
      </c>
      <c r="AF937" s="15">
        <f t="shared" si="45"/>
        <v>923</v>
      </c>
      <c r="AG937" s="15">
        <f t="shared" si="46"/>
        <v>-1</v>
      </c>
    </row>
    <row r="938" spans="31:33" x14ac:dyDescent="0.2">
      <c r="AE938" s="125">
        <f t="shared" si="47"/>
        <v>-923</v>
      </c>
      <c r="AF938" s="15">
        <f t="shared" si="45"/>
        <v>924</v>
      </c>
      <c r="AG938" s="15">
        <f t="shared" si="46"/>
        <v>-1</v>
      </c>
    </row>
    <row r="939" spans="31:33" x14ac:dyDescent="0.2">
      <c r="AE939" s="125">
        <f t="shared" si="47"/>
        <v>-924</v>
      </c>
      <c r="AF939" s="15">
        <f t="shared" si="45"/>
        <v>925</v>
      </c>
      <c r="AG939" s="15">
        <f t="shared" si="46"/>
        <v>-1</v>
      </c>
    </row>
    <row r="940" spans="31:33" x14ac:dyDescent="0.2">
      <c r="AE940" s="125">
        <f t="shared" si="47"/>
        <v>-925</v>
      </c>
      <c r="AF940" s="15">
        <f t="shared" si="45"/>
        <v>926</v>
      </c>
      <c r="AG940" s="15">
        <f t="shared" si="46"/>
        <v>-1</v>
      </c>
    </row>
    <row r="941" spans="31:33" x14ac:dyDescent="0.2">
      <c r="AE941" s="125">
        <f t="shared" si="47"/>
        <v>-926</v>
      </c>
      <c r="AF941" s="15">
        <f t="shared" si="45"/>
        <v>927</v>
      </c>
      <c r="AG941" s="15">
        <f t="shared" si="46"/>
        <v>-1</v>
      </c>
    </row>
    <row r="942" spans="31:33" x14ac:dyDescent="0.2">
      <c r="AE942" s="125">
        <f t="shared" si="47"/>
        <v>-927</v>
      </c>
      <c r="AF942" s="15">
        <f t="shared" si="45"/>
        <v>928</v>
      </c>
      <c r="AG942" s="15">
        <f t="shared" si="46"/>
        <v>-1</v>
      </c>
    </row>
    <row r="943" spans="31:33" x14ac:dyDescent="0.2">
      <c r="AE943" s="125">
        <f t="shared" si="47"/>
        <v>-928</v>
      </c>
      <c r="AF943" s="15">
        <f t="shared" si="45"/>
        <v>929</v>
      </c>
      <c r="AG943" s="15">
        <f t="shared" si="46"/>
        <v>-1</v>
      </c>
    </row>
    <row r="944" spans="31:33" x14ac:dyDescent="0.2">
      <c r="AE944" s="125">
        <f t="shared" si="47"/>
        <v>-929</v>
      </c>
      <c r="AF944" s="15">
        <f t="shared" si="45"/>
        <v>930</v>
      </c>
      <c r="AG944" s="15">
        <f t="shared" si="46"/>
        <v>-1</v>
      </c>
    </row>
    <row r="945" spans="31:33" x14ac:dyDescent="0.2">
      <c r="AE945" s="125">
        <f t="shared" si="47"/>
        <v>-930</v>
      </c>
      <c r="AF945" s="15">
        <f t="shared" si="45"/>
        <v>931</v>
      </c>
      <c r="AG945" s="15">
        <f t="shared" si="46"/>
        <v>-1</v>
      </c>
    </row>
    <row r="946" spans="31:33" x14ac:dyDescent="0.2">
      <c r="AE946" s="125">
        <f t="shared" si="47"/>
        <v>-931</v>
      </c>
      <c r="AF946" s="15">
        <f t="shared" si="45"/>
        <v>932</v>
      </c>
      <c r="AG946" s="15">
        <f t="shared" si="46"/>
        <v>-1</v>
      </c>
    </row>
    <row r="947" spans="31:33" x14ac:dyDescent="0.2">
      <c r="AE947" s="125">
        <f t="shared" si="47"/>
        <v>-932</v>
      </c>
      <c r="AF947" s="15">
        <f t="shared" si="45"/>
        <v>933</v>
      </c>
      <c r="AG947" s="15">
        <f t="shared" si="46"/>
        <v>-1</v>
      </c>
    </row>
    <row r="948" spans="31:33" x14ac:dyDescent="0.2">
      <c r="AE948" s="125">
        <f t="shared" si="47"/>
        <v>-933</v>
      </c>
      <c r="AF948" s="15">
        <f t="shared" si="45"/>
        <v>934</v>
      </c>
      <c r="AG948" s="15">
        <f t="shared" si="46"/>
        <v>-1</v>
      </c>
    </row>
    <row r="949" spans="31:33" x14ac:dyDescent="0.2">
      <c r="AE949" s="125">
        <f t="shared" si="47"/>
        <v>-934</v>
      </c>
      <c r="AF949" s="15">
        <f t="shared" si="45"/>
        <v>935</v>
      </c>
      <c r="AG949" s="15">
        <f t="shared" si="46"/>
        <v>-1</v>
      </c>
    </row>
    <row r="950" spans="31:33" x14ac:dyDescent="0.2">
      <c r="AE950" s="125">
        <f t="shared" si="47"/>
        <v>-935</v>
      </c>
      <c r="AF950" s="15">
        <f t="shared" si="45"/>
        <v>936</v>
      </c>
      <c r="AG950" s="15">
        <f t="shared" si="46"/>
        <v>-1</v>
      </c>
    </row>
    <row r="951" spans="31:33" x14ac:dyDescent="0.2">
      <c r="AE951" s="125">
        <f t="shared" si="47"/>
        <v>-936</v>
      </c>
      <c r="AF951" s="15">
        <f t="shared" si="45"/>
        <v>937</v>
      </c>
      <c r="AG951" s="15">
        <f t="shared" si="46"/>
        <v>-1</v>
      </c>
    </row>
    <row r="952" spans="31:33" x14ac:dyDescent="0.2">
      <c r="AE952" s="125">
        <f t="shared" si="47"/>
        <v>-937</v>
      </c>
      <c r="AF952" s="15">
        <f t="shared" si="45"/>
        <v>938</v>
      </c>
      <c r="AG952" s="15">
        <f t="shared" si="46"/>
        <v>-1</v>
      </c>
    </row>
    <row r="953" spans="31:33" x14ac:dyDescent="0.2">
      <c r="AE953" s="125">
        <f t="shared" si="47"/>
        <v>-938</v>
      </c>
      <c r="AF953" s="15">
        <f t="shared" si="45"/>
        <v>939</v>
      </c>
      <c r="AG953" s="15">
        <f t="shared" si="46"/>
        <v>-1</v>
      </c>
    </row>
    <row r="954" spans="31:33" x14ac:dyDescent="0.2">
      <c r="AE954" s="125">
        <f t="shared" si="47"/>
        <v>-939</v>
      </c>
      <c r="AF954" s="15">
        <f t="shared" si="45"/>
        <v>940</v>
      </c>
      <c r="AG954" s="15">
        <f t="shared" si="46"/>
        <v>-1</v>
      </c>
    </row>
    <row r="955" spans="31:33" x14ac:dyDescent="0.2">
      <c r="AE955" s="125">
        <f t="shared" si="47"/>
        <v>-940</v>
      </c>
      <c r="AF955" s="15">
        <f t="shared" si="45"/>
        <v>941</v>
      </c>
      <c r="AG955" s="15">
        <f t="shared" si="46"/>
        <v>-1</v>
      </c>
    </row>
    <row r="956" spans="31:33" x14ac:dyDescent="0.2">
      <c r="AE956" s="125">
        <f t="shared" si="47"/>
        <v>-941</v>
      </c>
      <c r="AF956" s="15">
        <f t="shared" si="45"/>
        <v>942</v>
      </c>
      <c r="AG956" s="15">
        <f t="shared" si="46"/>
        <v>-1</v>
      </c>
    </row>
    <row r="957" spans="31:33" x14ac:dyDescent="0.2">
      <c r="AE957" s="125">
        <f t="shared" si="47"/>
        <v>-942</v>
      </c>
      <c r="AF957" s="15">
        <f t="shared" si="45"/>
        <v>943</v>
      </c>
      <c r="AG957" s="15">
        <f t="shared" si="46"/>
        <v>-1</v>
      </c>
    </row>
    <row r="958" spans="31:33" x14ac:dyDescent="0.2">
      <c r="AE958" s="125">
        <f t="shared" si="47"/>
        <v>-943</v>
      </c>
      <c r="AF958" s="15">
        <f t="shared" si="45"/>
        <v>944</v>
      </c>
      <c r="AG958" s="15">
        <f t="shared" si="46"/>
        <v>-1</v>
      </c>
    </row>
    <row r="959" spans="31:33" x14ac:dyDescent="0.2">
      <c r="AE959" s="125">
        <f t="shared" si="47"/>
        <v>-944</v>
      </c>
      <c r="AF959" s="15">
        <f t="shared" si="45"/>
        <v>945</v>
      </c>
      <c r="AG959" s="15">
        <f t="shared" si="46"/>
        <v>-1</v>
      </c>
    </row>
    <row r="960" spans="31:33" x14ac:dyDescent="0.2">
      <c r="AE960" s="125">
        <f t="shared" si="47"/>
        <v>-945</v>
      </c>
      <c r="AF960" s="15">
        <f t="shared" si="45"/>
        <v>946</v>
      </c>
      <c r="AG960" s="15">
        <f t="shared" si="46"/>
        <v>-1</v>
      </c>
    </row>
    <row r="961" spans="31:33" x14ac:dyDescent="0.2">
      <c r="AE961" s="125">
        <f t="shared" si="47"/>
        <v>-946</v>
      </c>
      <c r="AF961" s="15">
        <f t="shared" si="45"/>
        <v>947</v>
      </c>
      <c r="AG961" s="15">
        <f t="shared" si="46"/>
        <v>-1</v>
      </c>
    </row>
    <row r="962" spans="31:33" x14ac:dyDescent="0.2">
      <c r="AE962" s="125">
        <f t="shared" si="47"/>
        <v>-947</v>
      </c>
      <c r="AF962" s="15">
        <f t="shared" si="45"/>
        <v>948</v>
      </c>
      <c r="AG962" s="15">
        <f t="shared" si="46"/>
        <v>-1</v>
      </c>
    </row>
    <row r="963" spans="31:33" x14ac:dyDescent="0.2">
      <c r="AE963" s="125">
        <f t="shared" si="47"/>
        <v>-948</v>
      </c>
      <c r="AF963" s="15">
        <f t="shared" si="45"/>
        <v>949</v>
      </c>
      <c r="AG963" s="15">
        <f t="shared" si="46"/>
        <v>-1</v>
      </c>
    </row>
    <row r="964" spans="31:33" x14ac:dyDescent="0.2">
      <c r="AE964" s="125">
        <f t="shared" si="47"/>
        <v>-949</v>
      </c>
      <c r="AF964" s="15">
        <f t="shared" ref="AF964:AF1003" si="48">IF(AF963&gt;=1,AF963+1,IF(AE964=0,1,-1))</f>
        <v>950</v>
      </c>
      <c r="AG964" s="15">
        <f t="shared" ref="AG964:AG1003" si="49">IF(AND(AG963&gt;=1,AG963&lt;$AD$3),AG963+1,IF(AE964=0,1,-1))</f>
        <v>-1</v>
      </c>
    </row>
    <row r="965" spans="31:33" x14ac:dyDescent="0.2">
      <c r="AE965" s="125">
        <f t="shared" ref="AE965:AE1003" si="50">AE964-1</f>
        <v>-950</v>
      </c>
      <c r="AF965" s="15">
        <f t="shared" si="48"/>
        <v>951</v>
      </c>
      <c r="AG965" s="15">
        <f t="shared" si="49"/>
        <v>-1</v>
      </c>
    </row>
    <row r="966" spans="31:33" x14ac:dyDescent="0.2">
      <c r="AE966" s="125">
        <f t="shared" si="50"/>
        <v>-951</v>
      </c>
      <c r="AF966" s="15">
        <f t="shared" si="48"/>
        <v>952</v>
      </c>
      <c r="AG966" s="15">
        <f t="shared" si="49"/>
        <v>-1</v>
      </c>
    </row>
    <row r="967" spans="31:33" x14ac:dyDescent="0.2">
      <c r="AE967" s="125">
        <f t="shared" si="50"/>
        <v>-952</v>
      </c>
      <c r="AF967" s="15">
        <f t="shared" si="48"/>
        <v>953</v>
      </c>
      <c r="AG967" s="15">
        <f t="shared" si="49"/>
        <v>-1</v>
      </c>
    </row>
    <row r="968" spans="31:33" x14ac:dyDescent="0.2">
      <c r="AE968" s="125">
        <f t="shared" si="50"/>
        <v>-953</v>
      </c>
      <c r="AF968" s="15">
        <f t="shared" si="48"/>
        <v>954</v>
      </c>
      <c r="AG968" s="15">
        <f t="shared" si="49"/>
        <v>-1</v>
      </c>
    </row>
    <row r="969" spans="31:33" x14ac:dyDescent="0.2">
      <c r="AE969" s="125">
        <f t="shared" si="50"/>
        <v>-954</v>
      </c>
      <c r="AF969" s="15">
        <f t="shared" si="48"/>
        <v>955</v>
      </c>
      <c r="AG969" s="15">
        <f t="shared" si="49"/>
        <v>-1</v>
      </c>
    </row>
    <row r="970" spans="31:33" x14ac:dyDescent="0.2">
      <c r="AE970" s="125">
        <f t="shared" si="50"/>
        <v>-955</v>
      </c>
      <c r="AF970" s="15">
        <f t="shared" si="48"/>
        <v>956</v>
      </c>
      <c r="AG970" s="15">
        <f t="shared" si="49"/>
        <v>-1</v>
      </c>
    </row>
    <row r="971" spans="31:33" x14ac:dyDescent="0.2">
      <c r="AE971" s="125">
        <f t="shared" si="50"/>
        <v>-956</v>
      </c>
      <c r="AF971" s="15">
        <f t="shared" si="48"/>
        <v>957</v>
      </c>
      <c r="AG971" s="15">
        <f t="shared" si="49"/>
        <v>-1</v>
      </c>
    </row>
    <row r="972" spans="31:33" x14ac:dyDescent="0.2">
      <c r="AE972" s="125">
        <f t="shared" si="50"/>
        <v>-957</v>
      </c>
      <c r="AF972" s="15">
        <f t="shared" si="48"/>
        <v>958</v>
      </c>
      <c r="AG972" s="15">
        <f t="shared" si="49"/>
        <v>-1</v>
      </c>
    </row>
    <row r="973" spans="31:33" x14ac:dyDescent="0.2">
      <c r="AE973" s="125">
        <f t="shared" si="50"/>
        <v>-958</v>
      </c>
      <c r="AF973" s="15">
        <f t="shared" si="48"/>
        <v>959</v>
      </c>
      <c r="AG973" s="15">
        <f t="shared" si="49"/>
        <v>-1</v>
      </c>
    </row>
    <row r="974" spans="31:33" x14ac:dyDescent="0.2">
      <c r="AE974" s="125">
        <f t="shared" si="50"/>
        <v>-959</v>
      </c>
      <c r="AF974" s="15">
        <f t="shared" si="48"/>
        <v>960</v>
      </c>
      <c r="AG974" s="15">
        <f t="shared" si="49"/>
        <v>-1</v>
      </c>
    </row>
    <row r="975" spans="31:33" x14ac:dyDescent="0.2">
      <c r="AE975" s="125">
        <f t="shared" si="50"/>
        <v>-960</v>
      </c>
      <c r="AF975" s="15">
        <f t="shared" si="48"/>
        <v>961</v>
      </c>
      <c r="AG975" s="15">
        <f t="shared" si="49"/>
        <v>-1</v>
      </c>
    </row>
    <row r="976" spans="31:33" x14ac:dyDescent="0.2">
      <c r="AE976" s="125">
        <f t="shared" si="50"/>
        <v>-961</v>
      </c>
      <c r="AF976" s="15">
        <f t="shared" si="48"/>
        <v>962</v>
      </c>
      <c r="AG976" s="15">
        <f t="shared" si="49"/>
        <v>-1</v>
      </c>
    </row>
    <row r="977" spans="31:33" x14ac:dyDescent="0.2">
      <c r="AE977" s="125">
        <f t="shared" si="50"/>
        <v>-962</v>
      </c>
      <c r="AF977" s="15">
        <f t="shared" si="48"/>
        <v>963</v>
      </c>
      <c r="AG977" s="15">
        <f t="shared" si="49"/>
        <v>-1</v>
      </c>
    </row>
    <row r="978" spans="31:33" x14ac:dyDescent="0.2">
      <c r="AE978" s="125">
        <f t="shared" si="50"/>
        <v>-963</v>
      </c>
      <c r="AF978" s="15">
        <f t="shared" si="48"/>
        <v>964</v>
      </c>
      <c r="AG978" s="15">
        <f t="shared" si="49"/>
        <v>-1</v>
      </c>
    </row>
    <row r="979" spans="31:33" x14ac:dyDescent="0.2">
      <c r="AE979" s="125">
        <f t="shared" si="50"/>
        <v>-964</v>
      </c>
      <c r="AF979" s="15">
        <f t="shared" si="48"/>
        <v>965</v>
      </c>
      <c r="AG979" s="15">
        <f t="shared" si="49"/>
        <v>-1</v>
      </c>
    </row>
    <row r="980" spans="31:33" x14ac:dyDescent="0.2">
      <c r="AE980" s="125">
        <f t="shared" si="50"/>
        <v>-965</v>
      </c>
      <c r="AF980" s="15">
        <f t="shared" si="48"/>
        <v>966</v>
      </c>
      <c r="AG980" s="15">
        <f t="shared" si="49"/>
        <v>-1</v>
      </c>
    </row>
    <row r="981" spans="31:33" x14ac:dyDescent="0.2">
      <c r="AE981" s="125">
        <f t="shared" si="50"/>
        <v>-966</v>
      </c>
      <c r="AF981" s="15">
        <f t="shared" si="48"/>
        <v>967</v>
      </c>
      <c r="AG981" s="15">
        <f t="shared" si="49"/>
        <v>-1</v>
      </c>
    </row>
    <row r="982" spans="31:33" x14ac:dyDescent="0.2">
      <c r="AE982" s="125">
        <f t="shared" si="50"/>
        <v>-967</v>
      </c>
      <c r="AF982" s="15">
        <f t="shared" si="48"/>
        <v>968</v>
      </c>
      <c r="AG982" s="15">
        <f t="shared" si="49"/>
        <v>-1</v>
      </c>
    </row>
    <row r="983" spans="31:33" x14ac:dyDescent="0.2">
      <c r="AE983" s="125">
        <f t="shared" si="50"/>
        <v>-968</v>
      </c>
      <c r="AF983" s="15">
        <f t="shared" si="48"/>
        <v>969</v>
      </c>
      <c r="AG983" s="15">
        <f t="shared" si="49"/>
        <v>-1</v>
      </c>
    </row>
    <row r="984" spans="31:33" x14ac:dyDescent="0.2">
      <c r="AE984" s="125">
        <f t="shared" si="50"/>
        <v>-969</v>
      </c>
      <c r="AF984" s="15">
        <f t="shared" si="48"/>
        <v>970</v>
      </c>
      <c r="AG984" s="15">
        <f t="shared" si="49"/>
        <v>-1</v>
      </c>
    </row>
    <row r="985" spans="31:33" x14ac:dyDescent="0.2">
      <c r="AE985" s="125">
        <f t="shared" si="50"/>
        <v>-970</v>
      </c>
      <c r="AF985" s="15">
        <f t="shared" si="48"/>
        <v>971</v>
      </c>
      <c r="AG985" s="15">
        <f t="shared" si="49"/>
        <v>-1</v>
      </c>
    </row>
    <row r="986" spans="31:33" x14ac:dyDescent="0.2">
      <c r="AE986" s="125">
        <f t="shared" si="50"/>
        <v>-971</v>
      </c>
      <c r="AF986" s="15">
        <f t="shared" si="48"/>
        <v>972</v>
      </c>
      <c r="AG986" s="15">
        <f t="shared" si="49"/>
        <v>-1</v>
      </c>
    </row>
    <row r="987" spans="31:33" x14ac:dyDescent="0.2">
      <c r="AE987" s="125">
        <f t="shared" si="50"/>
        <v>-972</v>
      </c>
      <c r="AF987" s="15">
        <f t="shared" si="48"/>
        <v>973</v>
      </c>
      <c r="AG987" s="15">
        <f t="shared" si="49"/>
        <v>-1</v>
      </c>
    </row>
    <row r="988" spans="31:33" x14ac:dyDescent="0.2">
      <c r="AE988" s="125">
        <f t="shared" si="50"/>
        <v>-973</v>
      </c>
      <c r="AF988" s="15">
        <f t="shared" si="48"/>
        <v>974</v>
      </c>
      <c r="AG988" s="15">
        <f t="shared" si="49"/>
        <v>-1</v>
      </c>
    </row>
    <row r="989" spans="31:33" x14ac:dyDescent="0.2">
      <c r="AE989" s="125">
        <f t="shared" si="50"/>
        <v>-974</v>
      </c>
      <c r="AF989" s="15">
        <f t="shared" si="48"/>
        <v>975</v>
      </c>
      <c r="AG989" s="15">
        <f t="shared" si="49"/>
        <v>-1</v>
      </c>
    </row>
    <row r="990" spans="31:33" x14ac:dyDescent="0.2">
      <c r="AE990" s="125">
        <f t="shared" si="50"/>
        <v>-975</v>
      </c>
      <c r="AF990" s="15">
        <f t="shared" si="48"/>
        <v>976</v>
      </c>
      <c r="AG990" s="15">
        <f t="shared" si="49"/>
        <v>-1</v>
      </c>
    </row>
    <row r="991" spans="31:33" x14ac:dyDescent="0.2">
      <c r="AE991" s="125">
        <f t="shared" si="50"/>
        <v>-976</v>
      </c>
      <c r="AF991" s="15">
        <f t="shared" si="48"/>
        <v>977</v>
      </c>
      <c r="AG991" s="15">
        <f t="shared" si="49"/>
        <v>-1</v>
      </c>
    </row>
    <row r="992" spans="31:33" x14ac:dyDescent="0.2">
      <c r="AE992" s="125">
        <f t="shared" si="50"/>
        <v>-977</v>
      </c>
      <c r="AF992" s="15">
        <f t="shared" si="48"/>
        <v>978</v>
      </c>
      <c r="AG992" s="15">
        <f t="shared" si="49"/>
        <v>-1</v>
      </c>
    </row>
    <row r="993" spans="31:33" x14ac:dyDescent="0.2">
      <c r="AE993" s="125">
        <f t="shared" si="50"/>
        <v>-978</v>
      </c>
      <c r="AF993" s="15">
        <f t="shared" si="48"/>
        <v>979</v>
      </c>
      <c r="AG993" s="15">
        <f t="shared" si="49"/>
        <v>-1</v>
      </c>
    </row>
    <row r="994" spans="31:33" x14ac:dyDescent="0.2">
      <c r="AE994" s="125">
        <f t="shared" si="50"/>
        <v>-979</v>
      </c>
      <c r="AF994" s="15">
        <f t="shared" si="48"/>
        <v>980</v>
      </c>
      <c r="AG994" s="15">
        <f t="shared" si="49"/>
        <v>-1</v>
      </c>
    </row>
    <row r="995" spans="31:33" x14ac:dyDescent="0.2">
      <c r="AE995" s="125">
        <f t="shared" si="50"/>
        <v>-980</v>
      </c>
      <c r="AF995" s="15">
        <f t="shared" si="48"/>
        <v>981</v>
      </c>
      <c r="AG995" s="15">
        <f t="shared" si="49"/>
        <v>-1</v>
      </c>
    </row>
    <row r="996" spans="31:33" x14ac:dyDescent="0.2">
      <c r="AE996" s="125">
        <f t="shared" si="50"/>
        <v>-981</v>
      </c>
      <c r="AF996" s="15">
        <f t="shared" si="48"/>
        <v>982</v>
      </c>
      <c r="AG996" s="15">
        <f t="shared" si="49"/>
        <v>-1</v>
      </c>
    </row>
    <row r="997" spans="31:33" x14ac:dyDescent="0.2">
      <c r="AE997" s="125">
        <f t="shared" si="50"/>
        <v>-982</v>
      </c>
      <c r="AF997" s="15">
        <f t="shared" si="48"/>
        <v>983</v>
      </c>
      <c r="AG997" s="15">
        <f t="shared" si="49"/>
        <v>-1</v>
      </c>
    </row>
    <row r="998" spans="31:33" x14ac:dyDescent="0.2">
      <c r="AE998" s="125">
        <f t="shared" si="50"/>
        <v>-983</v>
      </c>
      <c r="AF998" s="15">
        <f t="shared" si="48"/>
        <v>984</v>
      </c>
      <c r="AG998" s="15">
        <f t="shared" si="49"/>
        <v>-1</v>
      </c>
    </row>
    <row r="999" spans="31:33" x14ac:dyDescent="0.2">
      <c r="AE999" s="125">
        <f t="shared" si="50"/>
        <v>-984</v>
      </c>
      <c r="AF999" s="15">
        <f t="shared" si="48"/>
        <v>985</v>
      </c>
      <c r="AG999" s="15">
        <f t="shared" si="49"/>
        <v>-1</v>
      </c>
    </row>
    <row r="1000" spans="31:33" x14ac:dyDescent="0.2">
      <c r="AE1000" s="125">
        <f t="shared" si="50"/>
        <v>-985</v>
      </c>
      <c r="AF1000" s="15">
        <f t="shared" si="48"/>
        <v>986</v>
      </c>
      <c r="AG1000" s="15">
        <f t="shared" si="49"/>
        <v>-1</v>
      </c>
    </row>
    <row r="1001" spans="31:33" x14ac:dyDescent="0.2">
      <c r="AE1001" s="125">
        <f t="shared" si="50"/>
        <v>-986</v>
      </c>
      <c r="AF1001" s="15">
        <f t="shared" si="48"/>
        <v>987</v>
      </c>
      <c r="AG1001" s="15">
        <f t="shared" si="49"/>
        <v>-1</v>
      </c>
    </row>
    <row r="1002" spans="31:33" x14ac:dyDescent="0.2">
      <c r="AE1002" s="125">
        <f t="shared" si="50"/>
        <v>-987</v>
      </c>
      <c r="AF1002" s="15">
        <f t="shared" si="48"/>
        <v>988</v>
      </c>
      <c r="AG1002" s="15">
        <f t="shared" si="49"/>
        <v>-1</v>
      </c>
    </row>
    <row r="1003" spans="31:33" x14ac:dyDescent="0.2">
      <c r="AE1003" s="125">
        <f t="shared" si="50"/>
        <v>-988</v>
      </c>
      <c r="AF1003" s="15">
        <f t="shared" si="48"/>
        <v>989</v>
      </c>
      <c r="AG1003" s="15">
        <f t="shared" si="49"/>
        <v>-1</v>
      </c>
    </row>
  </sheetData>
  <pageMargins left="0.7" right="0.7" top="0.75" bottom="0.75" header="0.3" footer="0.3"/>
  <pageSetup orientation="portrait" r:id="rId1"/>
  <legacyDrawing r:id="rId2"/>
  <tableParts count="6">
    <tablePart r:id="rId3"/>
    <tablePart r:id="rId4"/>
    <tablePart r:id="rId5"/>
    <tablePart r:id="rId6"/>
    <tablePart r:id="rId7"/>
    <tablePart r:id="rId8"/>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9EA4D-1312-42D7-8BA7-5C6F09127EBD}">
  <sheetPr codeName="Sheet7">
    <tabColor rgb="FFFF0000"/>
  </sheetPr>
  <dimension ref="B2:D44"/>
  <sheetViews>
    <sheetView workbookViewId="0">
      <selection activeCell="D2" sqref="D2:F2"/>
    </sheetView>
  </sheetViews>
  <sheetFormatPr defaultRowHeight="12.75" x14ac:dyDescent="0.2"/>
  <cols>
    <col min="2" max="3" width="35.85546875" customWidth="1"/>
    <col min="4" max="4" width="128.140625" customWidth="1"/>
  </cols>
  <sheetData>
    <row r="2" spans="2:4" x14ac:dyDescent="0.2">
      <c r="B2" t="str" cm="1">
        <f t="array" ref="B2">INDEX(VersionHistory[Version],COUNTA(VersionHistory[Version]),1)</f>
        <v>Version 1.1</v>
      </c>
    </row>
    <row r="4" spans="2:4" x14ac:dyDescent="0.2">
      <c r="B4" s="167" t="s">
        <v>133</v>
      </c>
      <c r="C4" s="167"/>
    </row>
    <row r="6" spans="2:4" x14ac:dyDescent="0.2">
      <c r="B6" s="98" t="s">
        <v>134</v>
      </c>
      <c r="C6" s="98" t="s">
        <v>135</v>
      </c>
      <c r="D6" s="98" t="s">
        <v>113</v>
      </c>
    </row>
    <row r="7" spans="2:4" ht="38.25" x14ac:dyDescent="0.2">
      <c r="B7" s="168" t="s">
        <v>132</v>
      </c>
      <c r="C7" s="169">
        <v>45608</v>
      </c>
      <c r="D7" s="173" t="s">
        <v>167</v>
      </c>
    </row>
    <row r="8" spans="2:4" x14ac:dyDescent="0.2">
      <c r="B8" s="168" t="s">
        <v>166</v>
      </c>
      <c r="C8" s="169">
        <v>45722</v>
      </c>
      <c r="D8" s="166" t="s">
        <v>168</v>
      </c>
    </row>
    <row r="9" spans="2:4" x14ac:dyDescent="0.2">
      <c r="B9" s="168"/>
      <c r="C9" s="168"/>
      <c r="D9" s="166"/>
    </row>
    <row r="10" spans="2:4" x14ac:dyDescent="0.2">
      <c r="B10" s="168"/>
      <c r="C10" s="168"/>
      <c r="D10" s="166"/>
    </row>
    <row r="11" spans="2:4" x14ac:dyDescent="0.2">
      <c r="B11" s="168"/>
      <c r="C11" s="168"/>
      <c r="D11" s="166"/>
    </row>
    <row r="12" spans="2:4" x14ac:dyDescent="0.2">
      <c r="B12" s="168"/>
      <c r="C12" s="168"/>
      <c r="D12" s="166"/>
    </row>
    <row r="13" spans="2:4" x14ac:dyDescent="0.2">
      <c r="B13" s="127"/>
      <c r="C13" s="127"/>
      <c r="D13" s="4"/>
    </row>
    <row r="14" spans="2:4" x14ac:dyDescent="0.2">
      <c r="B14" s="127"/>
      <c r="C14" s="127"/>
      <c r="D14" s="4"/>
    </row>
    <row r="15" spans="2:4" x14ac:dyDescent="0.2">
      <c r="B15" s="127"/>
      <c r="C15" s="127"/>
      <c r="D15" s="4"/>
    </row>
    <row r="16" spans="2:4" x14ac:dyDescent="0.2">
      <c r="B16" s="127"/>
      <c r="C16" s="127"/>
      <c r="D16" s="4"/>
    </row>
    <row r="17" spans="2:4" x14ac:dyDescent="0.2">
      <c r="B17" s="127"/>
      <c r="C17" s="127"/>
      <c r="D17" s="4"/>
    </row>
    <row r="18" spans="2:4" x14ac:dyDescent="0.2">
      <c r="B18" s="127"/>
      <c r="C18" s="127"/>
      <c r="D18" s="4"/>
    </row>
    <row r="19" spans="2:4" x14ac:dyDescent="0.2">
      <c r="B19" s="127"/>
      <c r="C19" s="127"/>
      <c r="D19" s="4"/>
    </row>
    <row r="20" spans="2:4" x14ac:dyDescent="0.2">
      <c r="B20" s="127"/>
      <c r="C20" s="127"/>
      <c r="D20" s="4"/>
    </row>
    <row r="21" spans="2:4" x14ac:dyDescent="0.2">
      <c r="B21" s="127"/>
      <c r="C21" s="127"/>
      <c r="D21" s="4"/>
    </row>
    <row r="22" spans="2:4" x14ac:dyDescent="0.2">
      <c r="B22" s="127"/>
      <c r="C22" s="127"/>
      <c r="D22" s="4"/>
    </row>
    <row r="23" spans="2:4" x14ac:dyDescent="0.2">
      <c r="B23" s="127"/>
      <c r="C23" s="127"/>
      <c r="D23" s="4"/>
    </row>
    <row r="24" spans="2:4" x14ac:dyDescent="0.2">
      <c r="B24" s="127"/>
      <c r="C24" s="127"/>
      <c r="D24" s="4"/>
    </row>
    <row r="25" spans="2:4" x14ac:dyDescent="0.2">
      <c r="B25" s="127"/>
      <c r="C25" s="127"/>
      <c r="D25" s="4"/>
    </row>
    <row r="26" spans="2:4" x14ac:dyDescent="0.2">
      <c r="B26" s="127"/>
      <c r="C26" s="127"/>
      <c r="D26" s="4"/>
    </row>
    <row r="27" spans="2:4" x14ac:dyDescent="0.2">
      <c r="B27" s="127"/>
      <c r="C27" s="127"/>
      <c r="D27" s="4"/>
    </row>
    <row r="28" spans="2:4" x14ac:dyDescent="0.2">
      <c r="B28" s="127"/>
      <c r="C28" s="127"/>
      <c r="D28" s="4"/>
    </row>
    <row r="29" spans="2:4" x14ac:dyDescent="0.2">
      <c r="B29" s="127"/>
      <c r="C29" s="127"/>
      <c r="D29" s="4"/>
    </row>
    <row r="30" spans="2:4" x14ac:dyDescent="0.2">
      <c r="B30" s="127"/>
      <c r="C30" s="127"/>
      <c r="D30" s="4"/>
    </row>
    <row r="31" spans="2:4" x14ac:dyDescent="0.2">
      <c r="B31" s="127"/>
      <c r="C31" s="127"/>
      <c r="D31" s="4"/>
    </row>
    <row r="32" spans="2:4" x14ac:dyDescent="0.2">
      <c r="B32" s="127"/>
      <c r="C32" s="127"/>
      <c r="D32" s="4"/>
    </row>
    <row r="33" spans="2:4" x14ac:dyDescent="0.2">
      <c r="B33" s="127"/>
      <c r="C33" s="127"/>
      <c r="D33" s="4"/>
    </row>
    <row r="34" spans="2:4" x14ac:dyDescent="0.2">
      <c r="B34" s="127"/>
      <c r="C34" s="127"/>
      <c r="D34" s="4"/>
    </row>
    <row r="35" spans="2:4" x14ac:dyDescent="0.2">
      <c r="B35" s="127"/>
      <c r="C35" s="127"/>
      <c r="D35" s="4"/>
    </row>
    <row r="36" spans="2:4" x14ac:dyDescent="0.2">
      <c r="B36" s="127"/>
      <c r="C36" s="127"/>
      <c r="D36" s="4"/>
    </row>
    <row r="37" spans="2:4" x14ac:dyDescent="0.2">
      <c r="B37" s="127"/>
      <c r="C37" s="127"/>
      <c r="D37" s="4"/>
    </row>
    <row r="38" spans="2:4" x14ac:dyDescent="0.2">
      <c r="B38" s="127"/>
      <c r="C38" s="127"/>
      <c r="D38" s="4"/>
    </row>
    <row r="39" spans="2:4" x14ac:dyDescent="0.2">
      <c r="B39" s="127"/>
      <c r="C39" s="127"/>
      <c r="D39" s="4"/>
    </row>
    <row r="40" spans="2:4" x14ac:dyDescent="0.2">
      <c r="B40" s="127"/>
      <c r="C40" s="127"/>
      <c r="D40" s="4"/>
    </row>
    <row r="41" spans="2:4" x14ac:dyDescent="0.2">
      <c r="B41" s="127"/>
      <c r="C41" s="127"/>
      <c r="D41" s="4"/>
    </row>
    <row r="42" spans="2:4" x14ac:dyDescent="0.2">
      <c r="B42" s="127"/>
      <c r="C42" s="127"/>
      <c r="D42" s="4"/>
    </row>
    <row r="43" spans="2:4" x14ac:dyDescent="0.2">
      <c r="B43" s="127"/>
      <c r="C43" s="127"/>
      <c r="D43" s="4"/>
    </row>
    <row r="44" spans="2:4" x14ac:dyDescent="0.2">
      <c r="B44" s="127"/>
      <c r="C44" s="127"/>
      <c r="D44" s="4"/>
    </row>
  </sheetData>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B3:E12"/>
  <sheetViews>
    <sheetView workbookViewId="0">
      <selection activeCell="D2" sqref="D2:F2"/>
    </sheetView>
  </sheetViews>
  <sheetFormatPr defaultRowHeight="12.75" x14ac:dyDescent="0.2"/>
  <sheetData>
    <row r="3" spans="2:5" x14ac:dyDescent="0.2">
      <c r="D3" t="s">
        <v>10</v>
      </c>
      <c r="E3" t="s">
        <v>99</v>
      </c>
    </row>
    <row r="4" spans="2:5" x14ac:dyDescent="0.2">
      <c r="B4" s="98" t="s">
        <v>137</v>
      </c>
      <c r="D4" t="s">
        <v>40</v>
      </c>
    </row>
    <row r="5" spans="2:5" x14ac:dyDescent="0.2">
      <c r="B5" s="98" t="s">
        <v>136</v>
      </c>
      <c r="D5" s="106" t="s">
        <v>100</v>
      </c>
      <c r="E5" s="97">
        <v>6</v>
      </c>
    </row>
    <row r="6" spans="2:5" x14ac:dyDescent="0.2">
      <c r="D6" s="97" t="s">
        <v>11</v>
      </c>
      <c r="E6" s="97">
        <v>7</v>
      </c>
    </row>
    <row r="7" spans="2:5" x14ac:dyDescent="0.2">
      <c r="D7" s="97" t="s">
        <v>12</v>
      </c>
      <c r="E7" s="97">
        <v>8</v>
      </c>
    </row>
    <row r="8" spans="2:5" x14ac:dyDescent="0.2">
      <c r="D8" s="97" t="s">
        <v>13</v>
      </c>
      <c r="E8" s="97">
        <v>9</v>
      </c>
    </row>
    <row r="9" spans="2:5" x14ac:dyDescent="0.2">
      <c r="D9" s="97" t="s">
        <v>101</v>
      </c>
    </row>
    <row r="10" spans="2:5" x14ac:dyDescent="0.2">
      <c r="D10" s="97" t="s">
        <v>16</v>
      </c>
    </row>
    <row r="11" spans="2:5" x14ac:dyDescent="0.2">
      <c r="D11" s="97" t="s">
        <v>20</v>
      </c>
    </row>
    <row r="12" spans="2:5" x14ac:dyDescent="0.2">
      <c r="D12" s="106" t="s">
        <v>21</v>
      </c>
    </row>
  </sheetData>
  <phoneticPr fontId="3"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c4cd9cf-384f-4bc5-a268-03d5c39f5de0" xsi:nil="true"/>
    <Project_x0020_Deliverables xmlns="857dad1a-db72-4c36-bca3-b32813310734" xsi:nil="true"/>
    <lcf76f155ced4ddcb4097134ff3c332f xmlns="857dad1a-db72-4c36-bca3-b3281331073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A5BCF274480144588A05E7CE2FB2129" ma:contentTypeVersion="23" ma:contentTypeDescription="Create a new document." ma:contentTypeScope="" ma:versionID="8171aacc8d33d6ac42dbaf87d0784475">
  <xsd:schema xmlns:xsd="http://www.w3.org/2001/XMLSchema" xmlns:xs="http://www.w3.org/2001/XMLSchema" xmlns:p="http://schemas.microsoft.com/office/2006/metadata/properties" xmlns:ns2="857dad1a-db72-4c36-bca3-b32813310734" xmlns:ns3="dc4cd9cf-384f-4bc5-a268-03d5c39f5de0" targetNamespace="http://schemas.microsoft.com/office/2006/metadata/properties" ma:root="true" ma:fieldsID="89f1401a10214a93c0e971f93241b357" ns2:_="" ns3:_="">
    <xsd:import namespace="857dad1a-db72-4c36-bca3-b32813310734"/>
    <xsd:import namespace="dc4cd9cf-384f-4bc5-a268-03d5c39f5d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Project_x0020_Deliverable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7dad1a-db72-4c36-bca3-b328133107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64339e1-a024-4bf1-9a5b-b5f89841db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Project_x0020_Deliverables" ma:index="25" nillable="true" ma:displayName="Project Deliverables" ma:format="Dropdown" ma:indexed="true" ma:internalName="Project_x0020_Deliverables">
      <xsd:simpleType>
        <xsd:restriction base="dms:Choice">
          <xsd:enumeration value="Technical Presentation"/>
          <xsd:enumeration value="Memo"/>
          <xsd:enumeration value="ADS Literature"/>
          <xsd:enumeration value="Internal Reference"/>
        </xsd:restrictio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4cd9cf-384f-4bc5-a268-03d5c39f5de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74732af-9ad6-4476-a642-31345f5d407a}" ma:internalName="TaxCatchAll" ma:showField="CatchAllData" ma:web="dc4cd9cf-384f-4bc5-a268-03d5c39f5de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738F3F-4D72-412D-BAF6-15016D5AE6A6}">
  <ds:schemaRefs>
    <ds:schemaRef ds:uri="http://purl.org/dc/terms/"/>
    <ds:schemaRef ds:uri="http://www.w3.org/XML/1998/namespace"/>
    <ds:schemaRef ds:uri="http://purl.org/dc/dcmitype/"/>
    <ds:schemaRef ds:uri="c0e5c7c5-aeb3-41a2-bbe9-af943276464e"/>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D6566D7F-B696-4FBC-99CE-C5B0DC8F918C}">
  <ds:schemaRefs>
    <ds:schemaRef ds:uri="http://schemas.microsoft.com/sharepoint/v3/contenttype/forms"/>
  </ds:schemaRefs>
</ds:datastoreItem>
</file>

<file path=customXml/itemProps3.xml><?xml version="1.0" encoding="utf-8"?>
<ds:datastoreItem xmlns:ds="http://schemas.openxmlformats.org/officeDocument/2006/customXml" ds:itemID="{0930406E-91AC-4A09-8A55-E7BF610C73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Cumulative Volumes Imperial</vt:lpstr>
      <vt:lpstr>Cumulative Volumes Metric</vt:lpstr>
      <vt:lpstr>Imperial Calcs</vt:lpstr>
      <vt:lpstr>Imperial Data</vt:lpstr>
      <vt:lpstr>Metric Calcs</vt:lpstr>
      <vt:lpstr>Metric Data</vt:lpstr>
      <vt:lpstr>Version History</vt:lpstr>
      <vt:lpstr>Pull Downs</vt:lpstr>
      <vt:lpstr>Chambers2</vt:lpstr>
      <vt:lpstr>stonedepth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Christopher Dionne</dc:creator>
  <cp:keywords/>
  <dc:description/>
  <cp:lastModifiedBy>Christopher Dionne</cp:lastModifiedBy>
  <cp:revision/>
  <cp:lastPrinted>2025-01-02T16:13:35Z</cp:lastPrinted>
  <dcterms:created xsi:type="dcterms:W3CDTF">2009-08-03T13:59:21Z</dcterms:created>
  <dcterms:modified xsi:type="dcterms:W3CDTF">2025-05-14T21:10:00Z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0x0101003A5BCF274480144588A05E7CE2FB2129</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Order">
    <vt:r8>31000</vt:r8>
  </property>
  <property fmtid="{D5CDD505-2E9C-101B-9397-08002B2CF9AE}" pid="11" name="Document Status-Use">
    <vt:lpwstr>[unreviewed]</vt:lpwstr>
  </property>
  <property fmtid="{D5CDD505-2E9C-101B-9397-08002B2CF9AE}" pid="12" name="ADS Product">
    <vt:lpwstr>;#[no product];#</vt:lpwstr>
  </property>
  <property fmtid="{D5CDD505-2E9C-101B-9397-08002B2CF9AE}" pid="13" name="_SourceUrl">
    <vt:lpwstr/>
  </property>
  <property fmtid="{D5CDD505-2E9C-101B-9397-08002B2CF9AE}" pid="14" name="_SharedFileIndex">
    <vt:lpwstr/>
  </property>
</Properties>
</file>