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spipe-my.sharepoint.com/personal/noah_hanley_ads-pipe_com/Documents/"/>
    </mc:Choice>
  </mc:AlternateContent>
  <xr:revisionPtr revIDLastSave="218" documentId="8_{528C7CDE-BA2D-4877-A13E-E37FE9BA8002}" xr6:coauthVersionLast="45" xr6:coauthVersionMax="45" xr10:uidLastSave="{6E17826A-236B-4799-85D8-ABC82E6110B3}"/>
  <bookViews>
    <workbookView xWindow="-120" yWindow="-120" windowWidth="29040" windowHeight="15840" xr2:uid="{65D86ED3-8B2C-420C-8C00-AD9CC44851BF}"/>
  </bookViews>
  <sheets>
    <sheet name="COMPOSITE CROSS SECTION" sheetId="2" r:id="rId1"/>
    <sheet name="UNIFORM CROSS SECTI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T9" i="2" s="1"/>
  <c r="O3" i="2"/>
  <c r="N3" i="2"/>
  <c r="C10" i="2"/>
  <c r="X39" i="2"/>
  <c r="Y55" i="2" s="1"/>
  <c r="W39" i="2"/>
  <c r="AA39" i="2" s="1"/>
  <c r="X38" i="2"/>
  <c r="Y54" i="2" s="1"/>
  <c r="Y38" i="2" s="1"/>
  <c r="Z38" i="2" s="1"/>
  <c r="W38" i="2"/>
  <c r="AA38" i="2" s="1"/>
  <c r="X37" i="2"/>
  <c r="Y53" i="2" s="1"/>
  <c r="W37" i="2"/>
  <c r="AA37" i="2" s="1"/>
  <c r="X36" i="2"/>
  <c r="Y52" i="2" s="1"/>
  <c r="Y36" i="2" s="1"/>
  <c r="Z36" i="2" s="1"/>
  <c r="W36" i="2"/>
  <c r="AA36" i="2" s="1"/>
  <c r="X35" i="2"/>
  <c r="Y51" i="2" s="1"/>
  <c r="W35" i="2"/>
  <c r="AA35" i="2" s="1"/>
  <c r="X34" i="2"/>
  <c r="Y50" i="2" s="1"/>
  <c r="Y34" i="2" s="1"/>
  <c r="Z34" i="2" s="1"/>
  <c r="W34" i="2"/>
  <c r="AA34" i="2" s="1"/>
  <c r="X33" i="2"/>
  <c r="Y49" i="2" s="1"/>
  <c r="W33" i="2"/>
  <c r="AA33" i="2" s="1"/>
  <c r="X32" i="2"/>
  <c r="Y48" i="2" s="1"/>
  <c r="Y32" i="2" s="1"/>
  <c r="Z32" i="2" s="1"/>
  <c r="W32" i="2"/>
  <c r="AA32" i="2" s="1"/>
  <c r="X31" i="2"/>
  <c r="W31" i="2"/>
  <c r="AA31" i="2" s="1"/>
  <c r="X30" i="2"/>
  <c r="Y46" i="2" s="1"/>
  <c r="Y30" i="2" s="1"/>
  <c r="Z30" i="2" s="1"/>
  <c r="W30" i="2"/>
  <c r="AA30" i="2" s="1"/>
  <c r="X29" i="2"/>
  <c r="Y45" i="2" s="1"/>
  <c r="W29" i="2"/>
  <c r="AA29" i="2" s="1"/>
  <c r="X28" i="2"/>
  <c r="Y44" i="2" s="1"/>
  <c r="Y28" i="2" s="1"/>
  <c r="Z28" i="2" s="1"/>
  <c r="W28" i="2"/>
  <c r="AA28" i="2" s="1"/>
  <c r="X27" i="2"/>
  <c r="Y43" i="2" s="1"/>
  <c r="Y27" i="2" s="1"/>
  <c r="Z27" i="2" s="1"/>
  <c r="W27" i="2"/>
  <c r="AA27" i="2" s="1"/>
  <c r="C7" i="2"/>
  <c r="T6" i="2" s="1"/>
  <c r="C16" i="2" l="1"/>
  <c r="S3" i="2"/>
  <c r="Q3" i="2"/>
  <c r="T7" i="2"/>
  <c r="N10" i="2"/>
  <c r="N11" i="2" s="1"/>
  <c r="N12" i="2" s="1"/>
  <c r="O10" i="2" s="1"/>
  <c r="P3" i="2" s="1"/>
  <c r="Y29" i="2"/>
  <c r="Z29" i="2" s="1"/>
  <c r="Y33" i="2"/>
  <c r="Z33" i="2" s="1"/>
  <c r="Y39" i="2"/>
  <c r="Z39" i="2" s="1"/>
  <c r="Y37" i="2"/>
  <c r="Z37" i="2" s="1"/>
  <c r="Y47" i="2"/>
  <c r="Y31" i="2" s="1"/>
  <c r="Z31" i="2" s="1"/>
  <c r="Y35" i="2"/>
  <c r="Z35" i="2" s="1"/>
  <c r="U37" i="1"/>
  <c r="U36" i="1"/>
  <c r="U39" i="1"/>
  <c r="U38" i="1"/>
  <c r="Q39" i="1"/>
  <c r="Q38" i="1"/>
  <c r="R39" i="1"/>
  <c r="S55" i="1" s="1"/>
  <c r="R38" i="1"/>
  <c r="S54" i="1" s="1"/>
  <c r="S45" i="1"/>
  <c r="S29" i="1" s="1"/>
  <c r="S33" i="1"/>
  <c r="S52" i="1"/>
  <c r="S36" i="1" s="1"/>
  <c r="S53" i="1"/>
  <c r="S37" i="1" s="1"/>
  <c r="T37" i="1" s="1"/>
  <c r="S43" i="1"/>
  <c r="S27" i="1" s="1"/>
  <c r="S44" i="1"/>
  <c r="S28" i="1" s="1"/>
  <c r="S46" i="1"/>
  <c r="S30" i="1" s="1"/>
  <c r="S47" i="1"/>
  <c r="S31" i="1" s="1"/>
  <c r="S48" i="1"/>
  <c r="S32" i="1" s="1"/>
  <c r="S49" i="1"/>
  <c r="R37" i="1"/>
  <c r="R36" i="1"/>
  <c r="Q37" i="1"/>
  <c r="Q36" i="1"/>
  <c r="Q29" i="1"/>
  <c r="U29" i="1" s="1"/>
  <c r="R29" i="1"/>
  <c r="R3" i="2" l="1"/>
  <c r="C17" i="2" s="1"/>
  <c r="T36" i="1"/>
  <c r="S39" i="1"/>
  <c r="T39" i="1" s="1"/>
  <c r="S38" i="1"/>
  <c r="T38" i="1" s="1"/>
  <c r="T29" i="1"/>
  <c r="R35" i="1"/>
  <c r="Q35" i="1"/>
  <c r="U35" i="1" s="1"/>
  <c r="R34" i="1"/>
  <c r="Q34" i="1"/>
  <c r="U34" i="1" s="1"/>
  <c r="R33" i="1"/>
  <c r="T33" i="1" s="1"/>
  <c r="Q33" i="1"/>
  <c r="U33" i="1" s="1"/>
  <c r="R32" i="1"/>
  <c r="T32" i="1" s="1"/>
  <c r="Q32" i="1"/>
  <c r="U32" i="1" s="1"/>
  <c r="R31" i="1"/>
  <c r="T31" i="1" s="1"/>
  <c r="Q31" i="1"/>
  <c r="U31" i="1" s="1"/>
  <c r="R30" i="1"/>
  <c r="T30" i="1" s="1"/>
  <c r="Q30" i="1"/>
  <c r="U30" i="1" s="1"/>
  <c r="R28" i="1"/>
  <c r="T28" i="1" s="1"/>
  <c r="Q28" i="1"/>
  <c r="U28" i="1" s="1"/>
  <c r="R27" i="1"/>
  <c r="T27" i="1" s="1"/>
  <c r="Q27" i="1"/>
  <c r="U27" i="1" s="1"/>
  <c r="C14" i="1"/>
  <c r="N9" i="1" s="1"/>
  <c r="C9" i="1"/>
  <c r="N6" i="1" s="1"/>
  <c r="C15" i="1" s="1"/>
  <c r="C16" i="1" s="1"/>
  <c r="T3" i="2" l="1"/>
  <c r="C19" i="2" s="1"/>
  <c r="C18" i="2"/>
  <c r="S50" i="1"/>
  <c r="S51" i="1"/>
  <c r="N7" i="1"/>
  <c r="C17" i="1" s="1"/>
  <c r="AC37" i="2" l="1"/>
  <c r="AB36" i="2"/>
  <c r="AB27" i="2"/>
  <c r="AC27" i="2" s="1"/>
  <c r="AB32" i="2"/>
  <c r="AC32" i="2" s="1"/>
  <c r="AD30" i="2"/>
  <c r="AD31" i="2"/>
  <c r="AB33" i="2"/>
  <c r="AC33" i="2" s="1"/>
  <c r="AB34" i="2"/>
  <c r="AC34" i="2" s="1"/>
  <c r="AB29" i="2"/>
  <c r="AD33" i="2"/>
  <c r="AC36" i="2"/>
  <c r="AC29" i="2"/>
  <c r="AD29" i="2"/>
  <c r="AD38" i="2"/>
  <c r="AB39" i="2"/>
  <c r="AD35" i="2"/>
  <c r="AB28" i="2"/>
  <c r="AD32" i="2"/>
  <c r="AB35" i="2"/>
  <c r="AC35" i="2" s="1"/>
  <c r="AD28" i="2"/>
  <c r="AD39" i="2"/>
  <c r="AB31" i="2"/>
  <c r="AC31" i="2" s="1"/>
  <c r="AB38" i="2"/>
  <c r="AC39" i="2"/>
  <c r="AD34" i="2"/>
  <c r="AC38" i="2"/>
  <c r="AD36" i="2"/>
  <c r="AD27" i="2"/>
  <c r="AD37" i="2"/>
  <c r="AB30" i="2"/>
  <c r="AC30" i="2" s="1"/>
  <c r="AE30" i="2" s="1"/>
  <c r="AF30" i="2" s="1"/>
  <c r="AC28" i="2"/>
  <c r="AB37" i="2"/>
  <c r="S35" i="1"/>
  <c r="T35" i="1" s="1"/>
  <c r="X39" i="1"/>
  <c r="V27" i="1"/>
  <c r="W27" i="1" s="1"/>
  <c r="V38" i="1"/>
  <c r="W38" i="1" s="1"/>
  <c r="V37" i="1"/>
  <c r="V39" i="1"/>
  <c r="W39" i="1" s="1"/>
  <c r="W37" i="1"/>
  <c r="X36" i="1"/>
  <c r="V36" i="1"/>
  <c r="W36" i="1" s="1"/>
  <c r="X38" i="1"/>
  <c r="X37" i="1"/>
  <c r="S34" i="1"/>
  <c r="T34" i="1" s="1"/>
  <c r="X29" i="1"/>
  <c r="V29" i="1"/>
  <c r="W29" i="1" s="1"/>
  <c r="V33" i="1"/>
  <c r="W33" i="1" s="1"/>
  <c r="X32" i="1"/>
  <c r="V28" i="1"/>
  <c r="W28" i="1" s="1"/>
  <c r="X27" i="1"/>
  <c r="X35" i="1"/>
  <c r="V32" i="1"/>
  <c r="W32" i="1" s="1"/>
  <c r="X31" i="1"/>
  <c r="V31" i="1"/>
  <c r="W31" i="1" s="1"/>
  <c r="X30" i="1"/>
  <c r="V34" i="1"/>
  <c r="W34" i="1" s="1"/>
  <c r="X33" i="1"/>
  <c r="V30" i="1"/>
  <c r="W30" i="1" s="1"/>
  <c r="V35" i="1"/>
  <c r="W35" i="1" s="1"/>
  <c r="X34" i="1"/>
  <c r="X28" i="1"/>
  <c r="AE37" i="2" l="1"/>
  <c r="AF37" i="2" s="1"/>
  <c r="AE39" i="2"/>
  <c r="AF39" i="2" s="1"/>
  <c r="AE29" i="2"/>
  <c r="AF29" i="2" s="1"/>
  <c r="AE32" i="2"/>
  <c r="AF32" i="2" s="1"/>
  <c r="C22" i="2" s="1"/>
  <c r="C23" i="2" s="1"/>
  <c r="C25" i="2" s="1"/>
  <c r="AE36" i="2"/>
  <c r="AF36" i="2" s="1"/>
  <c r="AE38" i="2"/>
  <c r="AF38" i="2" s="1"/>
  <c r="AE28" i="2"/>
  <c r="AF28" i="2" s="1"/>
  <c r="AE35" i="2"/>
  <c r="AF35" i="2" s="1"/>
  <c r="AE31" i="2"/>
  <c r="AF31" i="2" s="1"/>
  <c r="AE34" i="2"/>
  <c r="AF34" i="2" s="1"/>
  <c r="AE33" i="2"/>
  <c r="AF33" i="2" s="1"/>
  <c r="AE27" i="2"/>
  <c r="AF27" i="2" s="1"/>
  <c r="Y36" i="1"/>
  <c r="Z36" i="1" s="1"/>
  <c r="Y37" i="1"/>
  <c r="Z37" i="1" s="1"/>
  <c r="C21" i="1" s="1"/>
  <c r="Y39" i="1"/>
  <c r="Z39" i="1" s="1"/>
  <c r="Y38" i="1"/>
  <c r="Z38" i="1" s="1"/>
  <c r="Y29" i="1"/>
  <c r="Z29" i="1" s="1"/>
  <c r="Y31" i="1"/>
  <c r="Z31" i="1" s="1"/>
  <c r="Y33" i="1"/>
  <c r="Z33" i="1" s="1"/>
  <c r="Y28" i="1"/>
  <c r="Z28" i="1" s="1"/>
  <c r="Y34" i="1"/>
  <c r="Z34" i="1" s="1"/>
  <c r="Y32" i="1"/>
  <c r="Z32" i="1" s="1"/>
  <c r="Y27" i="1"/>
  <c r="Z27" i="1" s="1"/>
  <c r="Y35" i="1"/>
  <c r="Z35" i="1" s="1"/>
  <c r="Y30" i="1"/>
  <c r="Z30" i="1" s="1"/>
  <c r="C24" i="2" l="1"/>
  <c r="C22" i="1"/>
  <c r="C24" i="1" s="1"/>
  <c r="C23" i="1"/>
</calcChain>
</file>

<file path=xl/sharedStrings.xml><?xml version="1.0" encoding="utf-8"?>
<sst xmlns="http://schemas.openxmlformats.org/spreadsheetml/2006/main" count="131" uniqueCount="63">
  <si>
    <t>Concrete Gutter, troweled finish</t>
  </si>
  <si>
    <t>Asphalt Pavement, smooth texture</t>
  </si>
  <si>
    <t>Curb &amp; Gutter Design Inputs</t>
  </si>
  <si>
    <t>Asphalt Pavement, rough texture</t>
  </si>
  <si>
    <t>Surface Type</t>
  </si>
  <si>
    <t>Drop Down</t>
  </si>
  <si>
    <t>Concrete gutter-asphalt pavement, smooth</t>
  </si>
  <si>
    <t>Mannings Coeffiecient for Street &amp; Pavement Gutters</t>
  </si>
  <si>
    <t>Concrete gutter-asphalt pavement, rough</t>
  </si>
  <si>
    <t>Concrete pavement, float finish</t>
  </si>
  <si>
    <t>T (ft)</t>
  </si>
  <si>
    <t>Enter Units</t>
  </si>
  <si>
    <t>Concrete pavement, broom finish</t>
  </si>
  <si>
    <r>
      <t>S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(ft/ft)</t>
    </r>
  </si>
  <si>
    <r>
      <t>S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(ft/ft)</t>
    </r>
  </si>
  <si>
    <t>h (in)</t>
  </si>
  <si>
    <t>Gutter Flow (cfs)</t>
  </si>
  <si>
    <t>Gutter Velocity (fps)</t>
  </si>
  <si>
    <t>2'x2' Road &amp; Highway</t>
  </si>
  <si>
    <t>2'x3' Road &amp; Highway</t>
  </si>
  <si>
    <t>2'x2' Curb Inlet Standard</t>
  </si>
  <si>
    <t>Output</t>
  </si>
  <si>
    <t>2'x2' Curb Inlet Diagonal</t>
  </si>
  <si>
    <t>Grate Style</t>
  </si>
  <si>
    <t>2'x3' Curb Inlet Diagonal</t>
  </si>
  <si>
    <t>2'x3' Curb Inlet High Flow</t>
  </si>
  <si>
    <t>L</t>
  </si>
  <si>
    <t>W</t>
  </si>
  <si>
    <r>
      <t>E</t>
    </r>
    <r>
      <rPr>
        <vertAlign val="subscript"/>
        <sz val="11"/>
        <color theme="1"/>
        <rFont val="Calibri"/>
        <family val="2"/>
        <scheme val="minor"/>
      </rPr>
      <t>o</t>
    </r>
  </si>
  <si>
    <r>
      <t>E</t>
    </r>
    <r>
      <rPr>
        <vertAlign val="subscript"/>
        <sz val="11"/>
        <color theme="1"/>
        <rFont val="Calibri"/>
        <family val="2"/>
        <scheme val="minor"/>
      </rPr>
      <t>S</t>
    </r>
  </si>
  <si>
    <r>
      <t>V</t>
    </r>
    <r>
      <rPr>
        <vertAlign val="subscript"/>
        <sz val="11"/>
        <color theme="1"/>
        <rFont val="Calibri"/>
        <family val="2"/>
        <scheme val="minor"/>
      </rPr>
      <t>o</t>
    </r>
  </si>
  <si>
    <r>
      <t>R</t>
    </r>
    <r>
      <rPr>
        <vertAlign val="subscript"/>
        <sz val="11"/>
        <color theme="1"/>
        <rFont val="Calibri"/>
        <family val="2"/>
        <scheme val="minor"/>
      </rPr>
      <t>f</t>
    </r>
  </si>
  <si>
    <r>
      <t>Act R</t>
    </r>
    <r>
      <rPr>
        <vertAlign val="subscript"/>
        <sz val="11"/>
        <color theme="1"/>
        <rFont val="Calibri"/>
        <family val="2"/>
        <scheme val="minor"/>
      </rPr>
      <t>f</t>
    </r>
  </si>
  <si>
    <r>
      <t>R</t>
    </r>
    <r>
      <rPr>
        <vertAlign val="subscript"/>
        <sz val="11"/>
        <color theme="1"/>
        <rFont val="Calibri"/>
        <family val="2"/>
        <scheme val="minor"/>
      </rPr>
      <t>s</t>
    </r>
  </si>
  <si>
    <t>E</t>
  </si>
  <si>
    <r>
      <t>Q</t>
    </r>
    <r>
      <rPr>
        <vertAlign val="subscript"/>
        <sz val="11"/>
        <color theme="1"/>
        <rFont val="Calibri"/>
        <family val="2"/>
        <scheme val="minor"/>
      </rPr>
      <t>i</t>
    </r>
  </si>
  <si>
    <t xml:space="preserve">2'x2' Steel Bar MAG </t>
  </si>
  <si>
    <t xml:space="preserve">2'x3' Steel Bar MAG </t>
  </si>
  <si>
    <t>DISCLAIMER: SAFETY FACTORS ARE NOT INCLUDED. ACTUAL CALCULATIONS SHOULD BE CARRIED OUT AND VERIFIED BY DESIGN ENGINEER TAKING INTO ACCOUNT ALL LOCAL CONDITIONS. FAA RECOMMENDS USING A SAFETY FACTOR OF 1.25 FOR PAVED AREAS AND 2.0 FOR TURF AREAS.  ADS/NYLOPLAST IS NOT RESPONSIBLE FOR MISUSE OF THIS TOOL.</t>
  </si>
  <si>
    <t>Intercepted Flow (cfs)</t>
  </si>
  <si>
    <t>Carryover Flow (cfs)</t>
  </si>
  <si>
    <t>Gutter Flow (gpm)</t>
  </si>
  <si>
    <t>Intercepted Flow (gpm)</t>
  </si>
  <si>
    <t>Carryover Flow (gpm)</t>
  </si>
  <si>
    <t>EQUATIONS AND CALCULATIONS ARE BASED OFF USDOT/FHWA URBAN DESIGN MANUAL, HYDRAULIC ENGINEERING CIRCULAR NO. 22, THIRD EDITION, PUBLICATION NO. FHWA-NHI-10-009.</t>
  </si>
  <si>
    <t>3'x3' Road &amp; Highway</t>
  </si>
  <si>
    <t>Double 2'x3' Curb Inlet Diagonal</t>
  </si>
  <si>
    <t>Double 2'x3' Curb Inlet High Flow</t>
  </si>
  <si>
    <t xml:space="preserve">Double 2'x2' Steel Bar MAG </t>
  </si>
  <si>
    <t xml:space="preserve">Double 2'x3' Steel Bar MAG </t>
  </si>
  <si>
    <r>
      <t>S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(ft/ft)</t>
    </r>
  </si>
  <si>
    <r>
      <t>T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(ft)</t>
    </r>
  </si>
  <si>
    <t>W (ft)</t>
  </si>
  <si>
    <t>a (in)</t>
  </si>
  <si>
    <t>d (in)</t>
  </si>
  <si>
    <r>
      <t>S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/S</t>
    </r>
    <r>
      <rPr>
        <vertAlign val="subscript"/>
        <sz val="11"/>
        <color theme="1"/>
        <rFont val="Calibri"/>
        <family val="2"/>
        <scheme val="minor"/>
      </rPr>
      <t>X</t>
    </r>
  </si>
  <si>
    <t>T/W</t>
  </si>
  <si>
    <r>
      <t>Q</t>
    </r>
    <r>
      <rPr>
        <vertAlign val="subscript"/>
        <sz val="11"/>
        <color theme="1"/>
        <rFont val="Calibri"/>
        <family val="2"/>
        <scheme val="minor"/>
      </rPr>
      <t>s</t>
    </r>
  </si>
  <si>
    <t>Q</t>
  </si>
  <si>
    <t>A</t>
  </si>
  <si>
    <t>V</t>
  </si>
  <si>
    <t>Nyloplast Curb &amp; Gutter Inlet Capacity Calculator - Composite Cross Section</t>
  </si>
  <si>
    <t>Nyloplast Curb &amp; Gutter Inlet Capacity Calculator - Uniform Cross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</si>
</sst>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0" xfId="1" applyFont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0" fillId="0" borderId="0" xfId="0" applyProtection="1"/>
    <xf numFmtId="0" fontId="0" fillId="2" borderId="0" xfId="0" applyFill="1" applyProtection="1"/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Protection="1"/>
    <xf numFmtId="0" fontId="0" fillId="0" borderId="5" xfId="0" applyBorder="1" applyAlignment="1" applyProtection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2" fontId="0" fillId="2" borderId="12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</xf>
    <xf numFmtId="0" fontId="0" fillId="0" borderId="10" xfId="0" applyBorder="1" applyProtection="1"/>
    <xf numFmtId="2" fontId="0" fillId="0" borderId="0" xfId="0" applyNumberFormat="1" applyAlignment="1" applyProtection="1">
      <alignment horizontal="center" vertical="center"/>
    </xf>
    <xf numFmtId="164" fontId="0" fillId="2" borderId="6" xfId="0" applyNumberFormat="1" applyFill="1" applyBorder="1" applyAlignment="1" applyProtection="1">
      <alignment horizontal="center" vertical="center"/>
    </xf>
    <xf numFmtId="0" fontId="0" fillId="0" borderId="11" xfId="0" applyBorder="1" applyProtection="1"/>
    <xf numFmtId="0" fontId="0" fillId="0" borderId="6" xfId="0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0" fillId="2" borderId="6" xfId="0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2" borderId="0" xfId="0" applyFill="1"/>
    <xf numFmtId="0" fontId="5" fillId="2" borderId="0" xfId="0" applyFont="1" applyFill="1" applyAlignment="1" applyProtection="1">
      <alignment horizontal="center" vertical="top" wrapText="1"/>
    </xf>
    <xf numFmtId="0" fontId="0" fillId="2" borderId="0" xfId="0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top" wrapText="1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</cellXfs>
  <cellStyles count="2">
    <cellStyle name="Normal" xfId="0" builtinId="0"/>
    <cellStyle name="Normal 2" xfId="1" xr:uid="{07931093-B277-4A09-B951-A9C25DE42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5</xdr:row>
      <xdr:rowOff>9525</xdr:rowOff>
    </xdr:from>
    <xdr:to>
      <xdr:col>11</xdr:col>
      <xdr:colOff>191643</xdr:colOff>
      <xdr:row>23</xdr:row>
      <xdr:rowOff>66675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358AD9D-2EEA-4C81-AAD5-D0EEAB456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1247775"/>
          <a:ext cx="4315968" cy="36576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1295400</xdr:colOff>
      <xdr:row>2</xdr:row>
      <xdr:rowOff>141662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213EE4-A7E6-4055-9025-C6A201A9B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1152525" cy="636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6</xdr:row>
      <xdr:rowOff>171451</xdr:rowOff>
    </xdr:from>
    <xdr:to>
      <xdr:col>10</xdr:col>
      <xdr:colOff>142876</xdr:colOff>
      <xdr:row>18</xdr:row>
      <xdr:rowOff>54252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3F0044-38B0-44F9-BC03-202E640C8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6" y="1666876"/>
          <a:ext cx="3657600" cy="226405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1343025</xdr:colOff>
      <xdr:row>2</xdr:row>
      <xdr:rowOff>74987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5059A4-54D5-4989-BF43-DDF60572E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152525" cy="636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07FA-1153-4E6C-A021-7723268137D5}">
  <dimension ref="A1:CB763"/>
  <sheetViews>
    <sheetView showGridLines="0" tabSelected="1" workbookViewId="0">
      <selection activeCell="A7" sqref="A7"/>
    </sheetView>
  </sheetViews>
  <sheetFormatPr defaultRowHeight="15" x14ac:dyDescent="0.25"/>
  <cols>
    <col min="1" max="1" width="20.7109375" customWidth="1"/>
    <col min="2" max="2" width="25.7109375" customWidth="1"/>
    <col min="3" max="3" width="40.7109375" customWidth="1"/>
    <col min="4" max="4" width="10.7109375" customWidth="1"/>
    <col min="12" max="12" width="9.140625" customWidth="1"/>
    <col min="13" max="21" width="9.140625" hidden="1" customWidth="1"/>
    <col min="22" max="22" width="30.7109375" hidden="1" customWidth="1"/>
    <col min="23" max="32" width="9.140625" hidden="1" customWidth="1"/>
  </cols>
  <sheetData>
    <row r="1" spans="1:80" ht="20.100000000000001" customHeight="1" x14ac:dyDescent="0.25">
      <c r="A1" s="3"/>
      <c r="B1" s="31" t="s">
        <v>61</v>
      </c>
      <c r="C1" s="32"/>
      <c r="D1" s="32"/>
      <c r="E1" s="32"/>
      <c r="F1" s="3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</row>
    <row r="2" spans="1:80" ht="20.100000000000001" customHeight="1" x14ac:dyDescent="0.35">
      <c r="A2" s="3"/>
      <c r="B2" s="32"/>
      <c r="C2" s="32"/>
      <c r="D2" s="32"/>
      <c r="E2" s="32"/>
      <c r="F2" s="32"/>
      <c r="G2" s="3"/>
      <c r="H2" s="3"/>
      <c r="I2" s="3"/>
      <c r="J2" s="3"/>
      <c r="K2" s="3"/>
      <c r="L2" s="3"/>
      <c r="M2" s="3"/>
      <c r="N2" s="3" t="s">
        <v>55</v>
      </c>
      <c r="O2" s="3" t="s">
        <v>56</v>
      </c>
      <c r="P2" s="3" t="s">
        <v>28</v>
      </c>
      <c r="Q2" s="3" t="s">
        <v>57</v>
      </c>
      <c r="R2" s="3" t="s">
        <v>58</v>
      </c>
      <c r="S2" s="3" t="s">
        <v>59</v>
      </c>
      <c r="T2" s="3" t="s">
        <v>60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</row>
    <row r="3" spans="1:80" ht="20.100000000000001" customHeight="1" x14ac:dyDescent="0.25">
      <c r="A3" s="33" t="s">
        <v>44</v>
      </c>
      <c r="B3" s="33"/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>
        <f>C13/C12</f>
        <v>4.165</v>
      </c>
      <c r="O3" s="3">
        <f>C9/C11</f>
        <v>8.1999999999999993</v>
      </c>
      <c r="P3" s="3">
        <f>1/O10</f>
        <v>0.36342081271074661</v>
      </c>
      <c r="Q3">
        <f>(W3/C7)*(C12^1.67)*(C14^0.5)*(C10^2.67)</f>
        <v>0.99052605222861934</v>
      </c>
      <c r="R3">
        <f>Q3/(1-P3)</f>
        <v>1.5560138817082265</v>
      </c>
      <c r="S3" s="3">
        <f>((C12*(C9^2))+((C15/12)*C11))/2</f>
        <v>0.70404999999999995</v>
      </c>
      <c r="T3">
        <f>C17/S3</f>
        <v>2.2100900244417678</v>
      </c>
      <c r="V3" s="3"/>
      <c r="W3" s="3">
        <v>0.56000000000000005</v>
      </c>
      <c r="X3" s="3">
        <v>1.1100000000000001</v>
      </c>
      <c r="Y3" s="3"/>
      <c r="Z3" s="3"/>
      <c r="AA3" s="3"/>
      <c r="AB3" s="3"/>
      <c r="AC3" s="3"/>
      <c r="AD3" s="3"/>
      <c r="AE3" s="3"/>
      <c r="AF3" s="3"/>
      <c r="AG3" s="4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</row>
    <row r="4" spans="1:80" ht="20.100000000000001" customHeight="1" x14ac:dyDescent="0.25">
      <c r="A4" s="33"/>
      <c r="B4" s="33"/>
      <c r="C4" s="33"/>
      <c r="D4" s="33"/>
      <c r="E4" s="33"/>
      <c r="F4" s="3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4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</row>
    <row r="5" spans="1:80" ht="20.100000000000001" customHeight="1" thickBot="1" x14ac:dyDescent="0.3">
      <c r="A5" s="5"/>
      <c r="B5" s="34" t="s">
        <v>2</v>
      </c>
      <c r="C5" s="34"/>
      <c r="D5" s="34"/>
      <c r="E5" s="5"/>
      <c r="F5" s="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6" t="s">
        <v>0</v>
      </c>
      <c r="W5" s="6">
        <v>1.2E-2</v>
      </c>
      <c r="X5" s="3"/>
      <c r="Y5" s="3"/>
      <c r="Z5" s="3"/>
      <c r="AA5" s="3"/>
      <c r="AB5" s="3"/>
      <c r="AC5" s="3"/>
      <c r="AD5" s="3"/>
      <c r="AE5" s="3"/>
      <c r="AF5" s="3"/>
      <c r="AG5" s="4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</row>
    <row r="6" spans="1:80" ht="15" customHeight="1" x14ac:dyDescent="0.25">
      <c r="A6" s="3"/>
      <c r="B6" s="7" t="s">
        <v>4</v>
      </c>
      <c r="C6" s="23" t="s">
        <v>12</v>
      </c>
      <c r="D6" s="8" t="s">
        <v>5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>
        <f>(W3/C7)*(C12^1.67)*(C14^0.5)*(C9^2.67)</f>
        <v>1.4017518016846937</v>
      </c>
      <c r="U6" s="3"/>
      <c r="V6" s="6" t="s">
        <v>1</v>
      </c>
      <c r="W6" s="6">
        <v>1.2999999999999999E-2</v>
      </c>
      <c r="X6" s="3"/>
      <c r="Y6" s="3"/>
      <c r="Z6" s="3"/>
      <c r="AA6" s="3"/>
      <c r="AB6" s="3"/>
      <c r="AC6" s="3"/>
      <c r="AD6" s="3"/>
      <c r="AE6" s="3"/>
      <c r="AF6" s="3"/>
      <c r="AG6" s="4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</row>
    <row r="7" spans="1:80" x14ac:dyDescent="0.25">
      <c r="A7" s="3"/>
      <c r="B7" s="35" t="s">
        <v>7</v>
      </c>
      <c r="C7" s="36">
        <f>VLOOKUP(C6,V5:W11,2,FALSE)</f>
        <v>1.6E-2</v>
      </c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>
        <f>(X3/C7)*(C14^0.5)*(C12^0.67)*(C9^0.67)</f>
        <v>2.0660859021389393</v>
      </c>
      <c r="U7" s="3"/>
      <c r="V7" s="6" t="s">
        <v>3</v>
      </c>
      <c r="W7" s="6">
        <v>1.6E-2</v>
      </c>
      <c r="X7" s="3"/>
      <c r="Y7" s="3"/>
      <c r="Z7" s="3"/>
      <c r="AA7" s="3"/>
      <c r="AB7" s="3"/>
      <c r="AC7" s="3"/>
      <c r="AD7" s="3"/>
      <c r="AE7" s="3"/>
      <c r="AF7" s="3"/>
      <c r="AG7" s="4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</row>
    <row r="8" spans="1:80" x14ac:dyDescent="0.25">
      <c r="A8" s="3"/>
      <c r="B8" s="35"/>
      <c r="C8" s="36"/>
      <c r="D8" s="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6" t="s">
        <v>6</v>
      </c>
      <c r="W8" s="6">
        <v>1.2999999999999999E-2</v>
      </c>
      <c r="X8" s="3"/>
      <c r="Y8" s="3"/>
      <c r="Z8" s="3"/>
      <c r="AA8" s="3"/>
      <c r="AB8" s="3"/>
      <c r="AC8" s="3"/>
      <c r="AD8" s="3"/>
      <c r="AE8" s="3"/>
      <c r="AF8" s="3"/>
      <c r="AG8" s="4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</row>
    <row r="9" spans="1:80" x14ac:dyDescent="0.25">
      <c r="A9" s="3"/>
      <c r="B9" s="10" t="s">
        <v>10</v>
      </c>
      <c r="C9" s="21">
        <v>8.1999999999999993</v>
      </c>
      <c r="D9" s="9" t="s">
        <v>11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f>C15/12</f>
        <v>6.3299999999999995E-2</v>
      </c>
      <c r="U9" s="3"/>
      <c r="V9" s="6" t="s">
        <v>8</v>
      </c>
      <c r="W9" s="6">
        <v>1.4999999999999999E-2</v>
      </c>
      <c r="X9" s="3"/>
      <c r="Y9" s="3"/>
      <c r="Z9" s="3"/>
      <c r="AA9" s="3"/>
      <c r="AB9" s="3"/>
      <c r="AC9" s="3"/>
      <c r="AD9" s="3"/>
      <c r="AE9" s="3"/>
      <c r="AF9" s="3"/>
      <c r="AG9" s="4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</row>
    <row r="10" spans="1:80" ht="18" x14ac:dyDescent="0.25">
      <c r="A10" s="3"/>
      <c r="B10" s="10" t="s">
        <v>51</v>
      </c>
      <c r="C10" s="25">
        <f>C9-C11</f>
        <v>7.1999999999999993</v>
      </c>
      <c r="D10" s="9"/>
      <c r="E10" s="3"/>
      <c r="F10" s="3"/>
      <c r="G10" s="3"/>
      <c r="H10" s="3"/>
      <c r="I10" s="3"/>
      <c r="J10" s="3"/>
      <c r="K10" s="3"/>
      <c r="L10" s="3"/>
      <c r="M10" s="3"/>
      <c r="N10" s="3">
        <f>1+(N3/(O3-1))</f>
        <v>1.5784722222222223</v>
      </c>
      <c r="O10" s="3">
        <f>1+(N3/N12)</f>
        <v>2.7516310707166864</v>
      </c>
      <c r="P10" s="3"/>
      <c r="Q10" s="3"/>
      <c r="R10" s="3"/>
      <c r="S10" s="3"/>
      <c r="T10" s="3"/>
      <c r="U10" s="3"/>
      <c r="V10" s="6" t="s">
        <v>9</v>
      </c>
      <c r="W10" s="6">
        <v>1.4E-2</v>
      </c>
      <c r="X10" s="3"/>
      <c r="Y10" s="3"/>
      <c r="Z10" s="3"/>
      <c r="AA10" s="3"/>
      <c r="AB10" s="3"/>
      <c r="AC10" s="3"/>
      <c r="AD10" s="3"/>
      <c r="AE10" s="3"/>
      <c r="AF10" s="3"/>
      <c r="AG10" s="4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</row>
    <row r="11" spans="1:80" x14ac:dyDescent="0.25">
      <c r="A11" s="3"/>
      <c r="B11" s="10" t="s">
        <v>52</v>
      </c>
      <c r="C11" s="21">
        <v>1</v>
      </c>
      <c r="D11" s="9" t="s">
        <v>11</v>
      </c>
      <c r="E11" s="3"/>
      <c r="F11" s="3"/>
      <c r="G11" s="3"/>
      <c r="H11" s="3"/>
      <c r="I11" s="3"/>
      <c r="J11" s="3"/>
      <c r="K11" s="3"/>
      <c r="L11" s="3"/>
      <c r="M11" s="3"/>
      <c r="N11" s="3">
        <f>N10^(8/3)</f>
        <v>3.3777838094044963</v>
      </c>
      <c r="O11" s="3"/>
      <c r="P11" s="3"/>
      <c r="Q11" s="3"/>
      <c r="R11" s="3"/>
      <c r="S11" s="3"/>
      <c r="T11" s="3"/>
      <c r="U11" s="3"/>
      <c r="V11" s="6" t="s">
        <v>12</v>
      </c>
      <c r="W11" s="6">
        <v>1.6E-2</v>
      </c>
      <c r="X11" s="3"/>
      <c r="Y11" s="3"/>
      <c r="Z11" s="3"/>
      <c r="AA11" s="3"/>
      <c r="AB11" s="3"/>
      <c r="AC11" s="3"/>
      <c r="AD11" s="3"/>
      <c r="AE11" s="3"/>
      <c r="AF11" s="3"/>
      <c r="AG11" s="4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</row>
    <row r="12" spans="1:80" ht="18" x14ac:dyDescent="0.25">
      <c r="A12" s="3"/>
      <c r="B12" s="10" t="s">
        <v>13</v>
      </c>
      <c r="C12" s="22">
        <v>0.02</v>
      </c>
      <c r="D12" s="9" t="s">
        <v>11</v>
      </c>
      <c r="E12" s="3"/>
      <c r="F12" s="3"/>
      <c r="G12" s="3"/>
      <c r="H12" s="3"/>
      <c r="I12" s="3"/>
      <c r="J12" s="3"/>
      <c r="K12" s="3"/>
      <c r="L12" s="3"/>
      <c r="M12" s="3"/>
      <c r="N12" s="3">
        <f>N11-1</f>
        <v>2.3777838094044963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4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</row>
    <row r="13" spans="1:80" ht="18" x14ac:dyDescent="0.25">
      <c r="A13" s="3"/>
      <c r="B13" s="10" t="s">
        <v>50</v>
      </c>
      <c r="C13" s="22">
        <v>8.3299999999999999E-2</v>
      </c>
      <c r="D13" s="9" t="s">
        <v>11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4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</row>
    <row r="14" spans="1:80" ht="18" x14ac:dyDescent="0.25">
      <c r="A14" s="3"/>
      <c r="B14" s="10" t="s">
        <v>14</v>
      </c>
      <c r="C14" s="22">
        <v>0.01</v>
      </c>
      <c r="D14" s="9" t="s">
        <v>11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4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</row>
    <row r="15" spans="1:80" x14ac:dyDescent="0.25">
      <c r="A15" s="3"/>
      <c r="B15" s="10" t="s">
        <v>53</v>
      </c>
      <c r="C15" s="11">
        <f>(C11*(C13-C12))*12</f>
        <v>0.75959999999999994</v>
      </c>
      <c r="D15" s="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12"/>
      <c r="W15" s="13"/>
      <c r="X15" s="1"/>
      <c r="Y15" s="1"/>
      <c r="Z15" s="13"/>
      <c r="AA15" s="3"/>
      <c r="AB15" s="3"/>
      <c r="AC15" s="3"/>
      <c r="AD15" s="3"/>
      <c r="AE15" s="6"/>
      <c r="AF15" s="3"/>
      <c r="AG15" s="4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</row>
    <row r="16" spans="1:80" x14ac:dyDescent="0.25">
      <c r="A16" s="3"/>
      <c r="B16" s="10" t="s">
        <v>54</v>
      </c>
      <c r="C16" s="11">
        <f>((C9*C12)+(C15/12))*12</f>
        <v>2.7275999999999998</v>
      </c>
      <c r="D16" s="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1"/>
      <c r="W16" s="1"/>
      <c r="X16" s="1"/>
      <c r="Y16" s="1"/>
      <c r="Z16" s="1"/>
      <c r="AA16" s="3"/>
      <c r="AB16" s="3"/>
      <c r="AC16" s="3"/>
      <c r="AD16" s="3"/>
      <c r="AE16" s="2"/>
      <c r="AF16" s="3"/>
      <c r="AG16" s="4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</row>
    <row r="17" spans="1:80" x14ac:dyDescent="0.25">
      <c r="A17" s="3"/>
      <c r="B17" s="10" t="s">
        <v>16</v>
      </c>
      <c r="C17" s="11">
        <f>R3</f>
        <v>1.5560138817082265</v>
      </c>
      <c r="D17" s="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1"/>
      <c r="W17" s="1"/>
      <c r="X17" s="1"/>
      <c r="Y17" s="1"/>
      <c r="Z17" s="1"/>
      <c r="AA17" s="3"/>
      <c r="AB17" s="3"/>
      <c r="AC17" s="3"/>
      <c r="AD17" s="3"/>
      <c r="AE17" s="2"/>
      <c r="AF17" s="3"/>
      <c r="AG17" s="4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</row>
    <row r="18" spans="1:80" x14ac:dyDescent="0.25">
      <c r="A18" s="3"/>
      <c r="B18" s="10" t="s">
        <v>41</v>
      </c>
      <c r="C18" s="14">
        <f>C17*448.8325660485</f>
        <v>698.38970333419047</v>
      </c>
      <c r="D18" s="9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1"/>
      <c r="W18" s="1"/>
      <c r="X18" s="1"/>
      <c r="Y18" s="1"/>
      <c r="Z18" s="1"/>
      <c r="AA18" s="3"/>
      <c r="AB18" s="3"/>
      <c r="AC18" s="3"/>
      <c r="AD18" s="3"/>
      <c r="AE18" s="2"/>
      <c r="AF18" s="3"/>
      <c r="AG18" s="4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</row>
    <row r="19" spans="1:80" ht="15.75" thickBot="1" x14ac:dyDescent="0.3">
      <c r="A19" s="3"/>
      <c r="B19" s="15" t="s">
        <v>17</v>
      </c>
      <c r="C19" s="16">
        <f>T3</f>
        <v>2.2100900244417678</v>
      </c>
      <c r="D19" s="1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1"/>
      <c r="W19" s="1"/>
      <c r="X19" s="1"/>
      <c r="Y19" s="1"/>
      <c r="Z19" s="1"/>
      <c r="AA19" s="3"/>
      <c r="AB19" s="3"/>
      <c r="AC19" s="3"/>
      <c r="AD19" s="3"/>
      <c r="AE19" s="2"/>
      <c r="AF19" s="3"/>
      <c r="AG19" s="4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</row>
    <row r="20" spans="1:80" ht="15.75" thickBot="1" x14ac:dyDescent="0.3">
      <c r="A20" s="3"/>
      <c r="B20" s="37" t="s">
        <v>21</v>
      </c>
      <c r="C20" s="37"/>
      <c r="D20" s="3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1"/>
      <c r="W20" s="1"/>
      <c r="X20" s="1"/>
      <c r="Y20" s="1"/>
      <c r="Z20" s="1"/>
      <c r="AA20" s="3"/>
      <c r="AB20" s="3"/>
      <c r="AC20" s="3"/>
      <c r="AD20" s="3"/>
      <c r="AE20" s="2"/>
      <c r="AF20" s="3"/>
      <c r="AG20" s="4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</row>
    <row r="21" spans="1:80" x14ac:dyDescent="0.25">
      <c r="A21" s="3"/>
      <c r="B21" s="7" t="s">
        <v>23</v>
      </c>
      <c r="C21" s="23" t="s">
        <v>49</v>
      </c>
      <c r="D21" s="8" t="s">
        <v>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"/>
      <c r="W21" s="1"/>
      <c r="X21" s="1"/>
      <c r="Y21" s="1"/>
      <c r="Z21" s="1"/>
      <c r="AA21" s="3"/>
      <c r="AB21" s="3"/>
      <c r="AC21" s="3"/>
      <c r="AD21" s="3"/>
      <c r="AE21" s="2"/>
      <c r="AF21" s="3"/>
      <c r="AG21" s="4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</row>
    <row r="22" spans="1:80" x14ac:dyDescent="0.25">
      <c r="A22" s="3"/>
      <c r="B22" s="10" t="s">
        <v>39</v>
      </c>
      <c r="C22" s="19">
        <f>VLOOKUP(C21,V27:AF39,11,FALSE)</f>
        <v>1.4043150495972752</v>
      </c>
      <c r="D22" s="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1"/>
      <c r="W22" s="1"/>
      <c r="X22" s="1"/>
      <c r="Y22" s="13"/>
      <c r="Z22" s="1"/>
      <c r="AA22" s="3"/>
      <c r="AB22" s="3"/>
      <c r="AC22" s="3"/>
      <c r="AD22" s="3"/>
      <c r="AE22" s="2"/>
      <c r="AF22" s="3"/>
      <c r="AG22" s="4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</row>
    <row r="23" spans="1:80" x14ac:dyDescent="0.25">
      <c r="A23" s="3"/>
      <c r="B23" s="10" t="s">
        <v>42</v>
      </c>
      <c r="C23" s="14">
        <f>C22*448.8325660485</f>
        <v>630.30232725127155</v>
      </c>
      <c r="D23" s="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"/>
      <c r="X23" s="1"/>
      <c r="Y23" s="3"/>
      <c r="Z23" s="1"/>
      <c r="AA23" s="3"/>
      <c r="AB23" s="3"/>
      <c r="AC23" s="3"/>
      <c r="AD23" s="3"/>
      <c r="AE23" s="2"/>
      <c r="AF23" s="3"/>
      <c r="AG23" s="4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</row>
    <row r="24" spans="1:80" x14ac:dyDescent="0.25">
      <c r="A24" s="3"/>
      <c r="B24" s="10" t="s">
        <v>40</v>
      </c>
      <c r="C24" s="19">
        <f>C17-C22</f>
        <v>0.15169883211095136</v>
      </c>
      <c r="D24" s="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2"/>
      <c r="AF24" s="3"/>
      <c r="AG24" s="4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</row>
    <row r="25" spans="1:80" x14ac:dyDescent="0.25">
      <c r="A25" s="3"/>
      <c r="B25" s="10" t="s">
        <v>43</v>
      </c>
      <c r="C25" s="19">
        <f>C18-C23</f>
        <v>68.087376082918922</v>
      </c>
      <c r="D25" s="2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6"/>
      <c r="AF25" s="3"/>
      <c r="AG25" s="4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</row>
    <row r="26" spans="1:80" ht="20.100000000000001" customHeight="1" x14ac:dyDescent="0.35">
      <c r="A26" s="30" t="s">
        <v>38</v>
      </c>
      <c r="B26" s="30"/>
      <c r="C26" s="30"/>
      <c r="D26" s="30"/>
      <c r="E26" s="30"/>
      <c r="F26" s="30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 t="s">
        <v>26</v>
      </c>
      <c r="X26" s="3" t="s">
        <v>27</v>
      </c>
      <c r="Y26" s="3" t="s">
        <v>28</v>
      </c>
      <c r="Z26" s="3" t="s">
        <v>29</v>
      </c>
      <c r="AA26" s="3" t="s">
        <v>30</v>
      </c>
      <c r="AB26" s="3" t="s">
        <v>31</v>
      </c>
      <c r="AC26" s="3" t="s">
        <v>32</v>
      </c>
      <c r="AD26" s="3" t="s">
        <v>33</v>
      </c>
      <c r="AE26" s="2" t="s">
        <v>34</v>
      </c>
      <c r="AF26" s="3" t="s">
        <v>35</v>
      </c>
      <c r="AG26" s="4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</row>
    <row r="27" spans="1:80" ht="20.100000000000001" customHeight="1" x14ac:dyDescent="0.25">
      <c r="A27" s="30"/>
      <c r="B27" s="30"/>
      <c r="C27" s="30"/>
      <c r="D27" s="30"/>
      <c r="E27" s="30"/>
      <c r="F27" s="3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" t="s">
        <v>18</v>
      </c>
      <c r="W27" s="3">
        <f>22.75/12</f>
        <v>1.8958333333333333</v>
      </c>
      <c r="X27" s="3">
        <f>22.75/12</f>
        <v>1.8958333333333333</v>
      </c>
      <c r="Y27" s="3">
        <f>IF($C$9&lt;X27,1,Y43)</f>
        <v>0.50440954128980664</v>
      </c>
      <c r="Z27" s="3">
        <f>1-Y27</f>
        <v>0.49559045871019336</v>
      </c>
      <c r="AA27" s="3">
        <f>0.735+(2.437*W27)-(0.265*(W27^2))+(0.018*(W27^3))</f>
        <v>4.5253385959201387</v>
      </c>
      <c r="AB27" s="3">
        <f>1-(0.09*($C$19-AA27))</f>
        <v>1.2083723714330534</v>
      </c>
      <c r="AC27" s="3">
        <f t="shared" ref="AC27:AC39" si="0">IF(AA27&gt;$C$19,1,AB27)</f>
        <v>1</v>
      </c>
      <c r="AD27" s="3">
        <f t="shared" ref="AD27:AD39" si="1">1/(1+((0.15*($C$19^1.8))/($C$12*(W27^2.3))))</f>
        <v>0.12226559832843868</v>
      </c>
      <c r="AE27" s="2">
        <f>(AC27*Y27)+(AD27*Z27)</f>
        <v>0.5650032052498738</v>
      </c>
      <c r="AF27" s="3">
        <f>AE27*$C$17</f>
        <v>0.87915283057844595</v>
      </c>
      <c r="AG27" s="4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</row>
    <row r="28" spans="1:80" x14ac:dyDescent="0.25">
      <c r="A28" s="24"/>
      <c r="B28" s="24"/>
      <c r="C28" s="24"/>
      <c r="D28" s="24"/>
      <c r="E28" s="24"/>
      <c r="F28" s="2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1" t="s">
        <v>19</v>
      </c>
      <c r="W28" s="3">
        <f>34.75/12</f>
        <v>2.8958333333333335</v>
      </c>
      <c r="X28" s="3">
        <f>22.75/12</f>
        <v>1.8958333333333333</v>
      </c>
      <c r="Y28" s="3">
        <f t="shared" ref="Y28:Y34" si="2">IF($C$9&lt;X28,1,Y44)</f>
        <v>0.50440954128980664</v>
      </c>
      <c r="Z28" s="3">
        <f t="shared" ref="Z28:Z39" si="3">1-Y28</f>
        <v>0.49559045871019336</v>
      </c>
      <c r="AA28" s="3">
        <f>0.735+(2.437*W28)-(0.265*(W28^2))+(0.018*(W28^3))</f>
        <v>6.0070078667534723</v>
      </c>
      <c r="AB28" s="3">
        <f t="shared" ref="AB28:AB39" si="4">1-(0.09*($C$19-AA28))</f>
        <v>1.3417226058080534</v>
      </c>
      <c r="AC28" s="3">
        <f t="shared" si="0"/>
        <v>1</v>
      </c>
      <c r="AD28" s="3">
        <f t="shared" si="1"/>
        <v>0.26956412369175003</v>
      </c>
      <c r="AE28" s="2">
        <f t="shared" ref="AE28:AE39" si="5">(AC28*Y28)+(AD28*Z28)</f>
        <v>0.63800294900201238</v>
      </c>
      <c r="AF28" s="3">
        <f t="shared" ref="AF28:AF39" si="6">AE28*$C$17</f>
        <v>0.99274144521791696</v>
      </c>
      <c r="AG28" s="4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</row>
    <row r="29" spans="1:80" x14ac:dyDescent="0.25">
      <c r="A29" s="4"/>
      <c r="B29" s="28"/>
      <c r="C29" s="28"/>
      <c r="D29" s="28"/>
      <c r="E29" s="4"/>
      <c r="F29" s="4"/>
      <c r="G29" s="4"/>
      <c r="H29" s="4"/>
      <c r="I29" s="4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1" t="s">
        <v>45</v>
      </c>
      <c r="W29" s="3">
        <f>37.5/12</f>
        <v>3.125</v>
      </c>
      <c r="X29" s="3">
        <f>37.5/12</f>
        <v>3.125</v>
      </c>
      <c r="Y29" s="3">
        <f t="shared" si="2"/>
        <v>0.72226458701408291</v>
      </c>
      <c r="Z29" s="3">
        <f>1-Y29</f>
        <v>0.27773541298591709</v>
      </c>
      <c r="AA29" s="3">
        <f>0.735+(2.437*W29)-(0.265*(W29^2))+(0.018*(W29^3))</f>
        <v>6.3120507812499991</v>
      </c>
      <c r="AB29" s="3">
        <f t="shared" si="4"/>
        <v>1.3691764681127407</v>
      </c>
      <c r="AC29" s="3">
        <f t="shared" si="0"/>
        <v>1</v>
      </c>
      <c r="AD29" s="3">
        <f t="shared" si="1"/>
        <v>0.30541054911030768</v>
      </c>
      <c r="AE29" s="2">
        <f t="shared" si="5"/>
        <v>0.80708791200148999</v>
      </c>
      <c r="AF29" s="3">
        <f t="shared" si="6"/>
        <v>1.2558399948332259</v>
      </c>
      <c r="AG29" s="4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</row>
    <row r="30" spans="1:80" x14ac:dyDescent="0.25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26"/>
      <c r="N30" s="26"/>
      <c r="O30" s="26"/>
      <c r="P30" s="26"/>
      <c r="Q30" s="26"/>
      <c r="R30" s="3"/>
      <c r="S30" s="3"/>
      <c r="T30" s="3"/>
      <c r="U30" s="3"/>
      <c r="V30" s="1" t="s">
        <v>20</v>
      </c>
      <c r="W30" s="3">
        <f>22.88/12</f>
        <v>1.9066666666666665</v>
      </c>
      <c r="X30" s="3">
        <f>18.5/12</f>
        <v>1.5416666666666667</v>
      </c>
      <c r="Y30" s="3">
        <f t="shared" si="2"/>
        <v>0.42654018805005245</v>
      </c>
      <c r="Z30" s="3">
        <f t="shared" si="3"/>
        <v>0.57345981194994755</v>
      </c>
      <c r="AA30" s="3">
        <f>0.735+(2.437*W30)-(0.265*(W30^2))+(0.018*(W30^3))</f>
        <v>4.5429377208888875</v>
      </c>
      <c r="AB30" s="3">
        <f t="shared" si="4"/>
        <v>1.2099562926802407</v>
      </c>
      <c r="AC30" s="3">
        <f t="shared" si="0"/>
        <v>1</v>
      </c>
      <c r="AD30" s="3">
        <f t="shared" si="1"/>
        <v>0.12367900879338353</v>
      </c>
      <c r="AE30" s="2">
        <f t="shared" si="5"/>
        <v>0.49746512917486208</v>
      </c>
      <c r="AF30" s="3">
        <f t="shared" si="6"/>
        <v>0.77406264666186142</v>
      </c>
      <c r="AG30" s="4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</row>
    <row r="31" spans="1:8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6"/>
      <c r="N31" s="26"/>
      <c r="O31" s="26"/>
      <c r="P31" s="26"/>
      <c r="Q31" s="26"/>
      <c r="R31" s="3"/>
      <c r="S31" s="3"/>
      <c r="T31" s="3"/>
      <c r="U31" s="3"/>
      <c r="V31" s="1" t="s">
        <v>22</v>
      </c>
      <c r="W31" s="3">
        <f>22.88/12</f>
        <v>1.9066666666666665</v>
      </c>
      <c r="X31" s="3">
        <f>18.5/12</f>
        <v>1.5416666666666667</v>
      </c>
      <c r="Y31" s="3">
        <f t="shared" si="2"/>
        <v>0.42654018805005245</v>
      </c>
      <c r="Z31" s="3">
        <f t="shared" si="3"/>
        <v>0.57345981194994755</v>
      </c>
      <c r="AA31" s="3">
        <f t="shared" ref="AA31:AA32" si="7">0.735+(2.437*W31)-(0.265*(W31^2))+(0.018*(W31^3))</f>
        <v>4.5429377208888875</v>
      </c>
      <c r="AB31" s="3">
        <f t="shared" si="4"/>
        <v>1.2099562926802407</v>
      </c>
      <c r="AC31" s="3">
        <f t="shared" si="0"/>
        <v>1</v>
      </c>
      <c r="AD31" s="3">
        <f t="shared" si="1"/>
        <v>0.12367900879338353</v>
      </c>
      <c r="AE31" s="2">
        <f t="shared" si="5"/>
        <v>0.49746512917486208</v>
      </c>
      <c r="AF31" s="3">
        <f t="shared" si="6"/>
        <v>0.77406264666186142</v>
      </c>
      <c r="AG31" s="4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</row>
    <row r="32" spans="1:8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26"/>
      <c r="N32" s="26"/>
      <c r="O32" s="26"/>
      <c r="P32" s="26"/>
      <c r="Q32" s="26"/>
      <c r="R32" s="3"/>
      <c r="S32" s="3"/>
      <c r="T32" s="3"/>
      <c r="U32" s="3"/>
      <c r="V32" s="1" t="s">
        <v>24</v>
      </c>
      <c r="W32" s="3">
        <f>34.75/12</f>
        <v>2.8958333333333335</v>
      </c>
      <c r="X32" s="3">
        <f>18.5/12</f>
        <v>1.5416666666666667</v>
      </c>
      <c r="Y32" s="3">
        <f t="shared" si="2"/>
        <v>0.42654018805005245</v>
      </c>
      <c r="Z32" s="3">
        <f t="shared" si="3"/>
        <v>0.57345981194994755</v>
      </c>
      <c r="AA32" s="3">
        <f t="shared" si="7"/>
        <v>6.0070078667534723</v>
      </c>
      <c r="AB32" s="3">
        <f t="shared" si="4"/>
        <v>1.3417226058080534</v>
      </c>
      <c r="AC32" s="3">
        <f t="shared" si="0"/>
        <v>1</v>
      </c>
      <c r="AD32" s="3">
        <f t="shared" si="1"/>
        <v>0.26956412369175003</v>
      </c>
      <c r="AE32" s="2">
        <f t="shared" si="5"/>
        <v>0.5811243797307758</v>
      </c>
      <c r="AF32" s="3">
        <f t="shared" si="6"/>
        <v>0.90423760186016988</v>
      </c>
      <c r="AG32" s="4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</row>
    <row r="33" spans="1:80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26"/>
      <c r="N33" s="26"/>
      <c r="O33" s="26"/>
      <c r="P33" s="26"/>
      <c r="Q33" s="26"/>
      <c r="R33" s="3"/>
      <c r="S33" s="3"/>
      <c r="T33" s="3"/>
      <c r="U33" s="3"/>
      <c r="V33" s="1" t="s">
        <v>25</v>
      </c>
      <c r="W33" s="3">
        <f>34.75/12</f>
        <v>2.8958333333333335</v>
      </c>
      <c r="X33" s="3">
        <f>18.5/12</f>
        <v>1.5416666666666667</v>
      </c>
      <c r="Y33" s="3">
        <f t="shared" si="2"/>
        <v>0.42654018805005245</v>
      </c>
      <c r="Z33" s="3">
        <f t="shared" si="3"/>
        <v>0.57345981194994755</v>
      </c>
      <c r="AA33" s="3">
        <f>0.988+(2.625*W33)-(0.359*(W33^2))+(0.029*(W33^3))</f>
        <v>6.2832788538049762</v>
      </c>
      <c r="AB33" s="3">
        <f t="shared" si="4"/>
        <v>1.3665869946426887</v>
      </c>
      <c r="AC33" s="3">
        <f t="shared" si="0"/>
        <v>1</v>
      </c>
      <c r="AD33" s="3">
        <f t="shared" si="1"/>
        <v>0.26956412369175003</v>
      </c>
      <c r="AE33" s="2">
        <f t="shared" si="5"/>
        <v>0.5811243797307758</v>
      </c>
      <c r="AF33" s="3">
        <f t="shared" si="6"/>
        <v>0.90423760186016988</v>
      </c>
      <c r="AG33" s="4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</row>
    <row r="34" spans="1:8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26"/>
      <c r="N34" s="26"/>
      <c r="O34" s="26"/>
      <c r="P34" s="26"/>
      <c r="Q34" s="26"/>
      <c r="R34" s="3"/>
      <c r="S34" s="3"/>
      <c r="T34" s="3"/>
      <c r="U34" s="3"/>
      <c r="V34" s="1" t="s">
        <v>36</v>
      </c>
      <c r="W34" s="3">
        <f>30.75/12</f>
        <v>2.5625</v>
      </c>
      <c r="X34" s="3">
        <f>30.75/12</f>
        <v>2.5625</v>
      </c>
      <c r="Y34" s="3">
        <f t="shared" si="2"/>
        <v>0.63227926824455571</v>
      </c>
      <c r="Z34" s="3">
        <f t="shared" si="3"/>
        <v>0.36772073175544429</v>
      </c>
      <c r="AA34" s="3">
        <f>0.735+(2.437*W34)-(0.265*(W34^2))+(0.018*(W34^3))</f>
        <v>5.5425903320312493</v>
      </c>
      <c r="AB34" s="3">
        <f t="shared" si="4"/>
        <v>1.2999250276830534</v>
      </c>
      <c r="AC34" s="3">
        <f t="shared" si="0"/>
        <v>1</v>
      </c>
      <c r="AD34" s="3">
        <f t="shared" si="1"/>
        <v>0.21787361846961728</v>
      </c>
      <c r="AE34" s="2">
        <f t="shared" si="5"/>
        <v>0.7123959146584099</v>
      </c>
      <c r="AF34" s="3">
        <f t="shared" si="6"/>
        <v>1.1084979324807149</v>
      </c>
      <c r="AG34" s="4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</row>
    <row r="35" spans="1:80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26"/>
      <c r="N35" s="26"/>
      <c r="O35" s="26"/>
      <c r="P35" s="26"/>
      <c r="Q35" s="26"/>
      <c r="R35" s="3"/>
      <c r="S35" s="3"/>
      <c r="T35" s="3"/>
      <c r="U35" s="3"/>
      <c r="V35" s="1" t="s">
        <v>37</v>
      </c>
      <c r="W35" s="3">
        <f>41.75/12</f>
        <v>3.4791666666666665</v>
      </c>
      <c r="X35" s="3">
        <f>30.75/12</f>
        <v>2.5625</v>
      </c>
      <c r="Y35" s="3">
        <f>IF($C$9&lt;X35,1,Y51)</f>
        <v>0.63227926824455571</v>
      </c>
      <c r="Z35" s="3">
        <f t="shared" si="3"/>
        <v>0.36772073175544429</v>
      </c>
      <c r="AA35" s="3">
        <f>0.735+(2.437*W35)-(0.265*(W35^2))+(0.018*(W35^3))</f>
        <v>6.7640606011284712</v>
      </c>
      <c r="AB35" s="3">
        <f t="shared" si="4"/>
        <v>1.4098573519018034</v>
      </c>
      <c r="AC35" s="3">
        <f t="shared" si="0"/>
        <v>1</v>
      </c>
      <c r="AD35" s="3">
        <f t="shared" si="1"/>
        <v>0.36014394768067365</v>
      </c>
      <c r="AE35" s="2">
        <f t="shared" si="5"/>
        <v>0.76471166422298742</v>
      </c>
      <c r="AF35" s="3">
        <f t="shared" si="6"/>
        <v>1.1899019650351685</v>
      </c>
      <c r="AG35" s="4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</row>
    <row r="36" spans="1:8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26"/>
      <c r="N36" s="26"/>
      <c r="O36" s="26"/>
      <c r="P36" s="26"/>
      <c r="Q36" s="26"/>
      <c r="R36" s="3"/>
      <c r="S36" s="3"/>
      <c r="T36" s="3"/>
      <c r="U36" s="3"/>
      <c r="V36" s="1" t="s">
        <v>46</v>
      </c>
      <c r="W36" s="3">
        <f>(24.25*2)/12</f>
        <v>4.041666666666667</v>
      </c>
      <c r="X36" s="3">
        <f t="shared" ref="X36:X37" si="8">18.5/12</f>
        <v>1.5416666666666667</v>
      </c>
      <c r="Y36" s="3">
        <f t="shared" ref="Y36:Y39" si="9">IF($C$9&lt;X36,1,Y52)</f>
        <v>0.42654018805005245</v>
      </c>
      <c r="Z36" s="3">
        <f t="shared" si="3"/>
        <v>0.57345981194994755</v>
      </c>
      <c r="AA36" s="3">
        <f t="shared" ref="AA36" si="10">0.735+(2.437*W36)-(0.265*(W36^2))+(0.018*(W36^3))</f>
        <v>7.4441245659722215</v>
      </c>
      <c r="AB36" s="3">
        <f>1-(0.09*($C$19-AA36))</f>
        <v>1.4710631087377408</v>
      </c>
      <c r="AC36" s="3">
        <f t="shared" si="0"/>
        <v>1</v>
      </c>
      <c r="AD36" s="3">
        <f t="shared" si="1"/>
        <v>0.44273945665910031</v>
      </c>
      <c r="AE36" s="2">
        <f t="shared" si="5"/>
        <v>0.68043347360860207</v>
      </c>
      <c r="AF36" s="3">
        <f t="shared" si="6"/>
        <v>1.0587639305139329</v>
      </c>
      <c r="AG36" s="4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</row>
    <row r="37" spans="1:8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26"/>
      <c r="N37" s="26"/>
      <c r="O37" s="26"/>
      <c r="P37" s="26"/>
      <c r="Q37" s="26"/>
      <c r="R37" s="3"/>
      <c r="S37" s="3"/>
      <c r="T37" s="3"/>
      <c r="U37" s="3"/>
      <c r="V37" s="1" t="s">
        <v>47</v>
      </c>
      <c r="W37" s="3">
        <f>(24.25*2)/12</f>
        <v>4.041666666666667</v>
      </c>
      <c r="X37" s="3">
        <f t="shared" si="8"/>
        <v>1.5416666666666667</v>
      </c>
      <c r="Y37" s="3">
        <f t="shared" si="9"/>
        <v>0.42654018805005245</v>
      </c>
      <c r="Z37" s="3">
        <f t="shared" si="3"/>
        <v>0.57345981194994755</v>
      </c>
      <c r="AA37" s="3">
        <f>0.988+(2.625*W37)-(0.359*(W37^2))+(0.029*(W37^3))</f>
        <v>7.6476913339120358</v>
      </c>
      <c r="AB37" s="3">
        <f t="shared" si="4"/>
        <v>1.4893841178523242</v>
      </c>
      <c r="AC37" s="3">
        <f t="shared" si="0"/>
        <v>1</v>
      </c>
      <c r="AD37" s="3">
        <f t="shared" si="1"/>
        <v>0.44273945665910031</v>
      </c>
      <c r="AE37" s="2">
        <f t="shared" si="5"/>
        <v>0.68043347360860207</v>
      </c>
      <c r="AF37" s="3">
        <f t="shared" si="6"/>
        <v>1.0587639305139329</v>
      </c>
      <c r="AG37" s="4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</row>
    <row r="38" spans="1:8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26"/>
      <c r="N38" s="26"/>
      <c r="O38" s="26"/>
      <c r="P38" s="26"/>
      <c r="Q38" s="26"/>
      <c r="R38" s="3"/>
      <c r="S38" s="3"/>
      <c r="T38" s="3"/>
      <c r="U38" s="3"/>
      <c r="V38" s="1" t="s">
        <v>48</v>
      </c>
      <c r="W38" s="3">
        <f>(30.75*2)/12</f>
        <v>5.125</v>
      </c>
      <c r="X38" s="3">
        <f>30.75/12</f>
        <v>2.5625</v>
      </c>
      <c r="Y38" s="3">
        <f t="shared" si="9"/>
        <v>0.63227926824455571</v>
      </c>
      <c r="Z38" s="3">
        <f t="shared" si="3"/>
        <v>0.36772073175544429</v>
      </c>
      <c r="AA38" s="3">
        <f>0.735+(2.437*W38)-(0.265*(W38^2))+(0.018*(W38^3))</f>
        <v>8.6872382812499964</v>
      </c>
      <c r="AB38" s="3">
        <f t="shared" si="4"/>
        <v>1.5829433431127407</v>
      </c>
      <c r="AC38" s="3">
        <f>IF(AA38&gt;$C$19,1,AB38)</f>
        <v>1</v>
      </c>
      <c r="AD38" s="3">
        <f t="shared" si="1"/>
        <v>0.5783826043400343</v>
      </c>
      <c r="AE38" s="2">
        <f t="shared" si="5"/>
        <v>0.8449625427470927</v>
      </c>
      <c r="AF38" s="3">
        <f t="shared" si="6"/>
        <v>1.314773446037957</v>
      </c>
      <c r="AG38" s="4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</row>
    <row r="39" spans="1:8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26"/>
      <c r="N39" s="26"/>
      <c r="O39" s="26"/>
      <c r="P39" s="26"/>
      <c r="Q39" s="26"/>
      <c r="R39" s="3"/>
      <c r="S39" s="3"/>
      <c r="T39" s="3"/>
      <c r="U39" s="3"/>
      <c r="V39" s="1" t="s">
        <v>49</v>
      </c>
      <c r="W39" s="3">
        <f>(41.75*2)/12</f>
        <v>6.958333333333333</v>
      </c>
      <c r="X39" s="3">
        <f>30.75/12</f>
        <v>2.5625</v>
      </c>
      <c r="Y39" s="3">
        <f t="shared" si="9"/>
        <v>0.63227926824455571</v>
      </c>
      <c r="Z39" s="3">
        <f t="shared" si="3"/>
        <v>0.36772073175544429</v>
      </c>
      <c r="AA39" s="3">
        <f>0.735+(2.437*W39)-(0.265*(W39^2))+(0.018*(W39^3))</f>
        <v>10.925986545138887</v>
      </c>
      <c r="AB39" s="3">
        <f t="shared" si="4"/>
        <v>1.7844306868627406</v>
      </c>
      <c r="AC39" s="3">
        <f t="shared" si="0"/>
        <v>1</v>
      </c>
      <c r="AD39" s="3">
        <f t="shared" si="1"/>
        <v>0.73487501653040654</v>
      </c>
      <c r="AE39" s="2">
        <f t="shared" si="5"/>
        <v>0.90250804707191101</v>
      </c>
      <c r="AF39" s="3">
        <f t="shared" si="6"/>
        <v>1.4043150495972752</v>
      </c>
      <c r="AG39" s="4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</row>
    <row r="40" spans="1:8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26"/>
      <c r="N40" s="26"/>
      <c r="O40" s="26"/>
      <c r="P40" s="26"/>
      <c r="Q40" s="26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4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</row>
    <row r="41" spans="1:8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26"/>
      <c r="N41" s="26"/>
      <c r="O41" s="26"/>
      <c r="P41" s="26"/>
      <c r="Q41" s="26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4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</row>
    <row r="42" spans="1:8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26"/>
      <c r="N42" s="26"/>
      <c r="O42" s="26"/>
      <c r="P42" s="26"/>
      <c r="Q42" s="26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4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</row>
    <row r="43" spans="1:8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26"/>
      <c r="N43" s="26"/>
      <c r="O43" s="26"/>
      <c r="P43" s="26"/>
      <c r="Q43" s="26"/>
      <c r="R43" s="3"/>
      <c r="S43" s="3"/>
      <c r="T43" s="3"/>
      <c r="U43" s="3"/>
      <c r="V43" s="3"/>
      <c r="W43" s="3"/>
      <c r="X43" s="3"/>
      <c r="Y43" s="3">
        <f t="shared" ref="Y43:Y49" si="11">1-((1-(X27/$C$9))^2.67)</f>
        <v>0.50440954128980664</v>
      </c>
      <c r="Z43" s="3"/>
      <c r="AA43" s="3"/>
      <c r="AB43" s="3"/>
      <c r="AC43" s="3"/>
      <c r="AD43" s="3"/>
      <c r="AE43" s="3"/>
      <c r="AF43" s="3"/>
      <c r="AG43" s="4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</row>
    <row r="44" spans="1:8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6"/>
      <c r="N44" s="26"/>
      <c r="O44" s="26"/>
      <c r="P44" s="26"/>
      <c r="Q44" s="26"/>
      <c r="R44" s="3"/>
      <c r="S44" s="3"/>
      <c r="T44" s="3"/>
      <c r="U44" s="3"/>
      <c r="V44" s="3"/>
      <c r="W44" s="3"/>
      <c r="X44" s="3"/>
      <c r="Y44" s="3">
        <f t="shared" si="11"/>
        <v>0.50440954128980664</v>
      </c>
      <c r="Z44" s="3"/>
      <c r="AA44" s="3"/>
      <c r="AB44" s="3"/>
      <c r="AC44" s="3"/>
      <c r="AD44" s="3"/>
      <c r="AE44" s="3"/>
      <c r="AF44" s="3"/>
      <c r="AG44" s="4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</row>
    <row r="45" spans="1:8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26"/>
      <c r="N45" s="26"/>
      <c r="O45" s="26"/>
      <c r="P45" s="26"/>
      <c r="Q45" s="26"/>
      <c r="R45" s="3"/>
      <c r="S45" s="3"/>
      <c r="T45" s="3"/>
      <c r="U45" s="3"/>
      <c r="V45" s="3"/>
      <c r="W45" s="3"/>
      <c r="X45" s="3"/>
      <c r="Y45" s="3">
        <f>1-((1-(X29/$C$9))^2.67)</f>
        <v>0.72226458701408291</v>
      </c>
      <c r="Z45" s="3"/>
      <c r="AA45" s="3"/>
      <c r="AB45" s="3"/>
      <c r="AC45" s="3"/>
      <c r="AD45" s="3"/>
      <c r="AE45" s="3"/>
      <c r="AF45" s="3"/>
      <c r="AG45" s="4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</row>
    <row r="46" spans="1:8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26"/>
      <c r="N46" s="26"/>
      <c r="O46" s="26"/>
      <c r="P46" s="26"/>
      <c r="Q46" s="26"/>
      <c r="R46" s="3"/>
      <c r="S46" s="3"/>
      <c r="T46" s="3"/>
      <c r="U46" s="3"/>
      <c r="V46" s="3"/>
      <c r="W46" s="3"/>
      <c r="X46" s="3"/>
      <c r="Y46" s="3">
        <f t="shared" si="11"/>
        <v>0.42654018805005245</v>
      </c>
      <c r="Z46" s="3"/>
      <c r="AA46" s="3"/>
      <c r="AB46" s="3"/>
      <c r="AC46" s="3"/>
      <c r="AD46" s="3"/>
      <c r="AE46" s="3"/>
      <c r="AF46" s="3"/>
      <c r="AG46" s="4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</row>
    <row r="47" spans="1:8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6"/>
      <c r="N47" s="26"/>
      <c r="O47" s="26"/>
      <c r="P47" s="26"/>
      <c r="Q47" s="26"/>
      <c r="R47" s="3"/>
      <c r="S47" s="3"/>
      <c r="T47" s="3"/>
      <c r="U47" s="3"/>
      <c r="V47" s="3"/>
      <c r="W47" s="3"/>
      <c r="X47" s="3"/>
      <c r="Y47" s="3">
        <f t="shared" si="11"/>
        <v>0.42654018805005245</v>
      </c>
      <c r="Z47" s="3"/>
      <c r="AA47" s="3"/>
      <c r="AB47" s="3"/>
      <c r="AC47" s="3"/>
      <c r="AD47" s="3"/>
      <c r="AE47" s="3"/>
      <c r="AF47" s="3"/>
      <c r="AG47" s="4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</row>
    <row r="48" spans="1:8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6"/>
      <c r="N48" s="26"/>
      <c r="O48" s="26"/>
      <c r="P48" s="26"/>
      <c r="Q48" s="26"/>
      <c r="R48" s="3"/>
      <c r="S48" s="3"/>
      <c r="T48" s="3"/>
      <c r="U48" s="3"/>
      <c r="V48" s="3"/>
      <c r="W48" s="3"/>
      <c r="X48" s="3"/>
      <c r="Y48" s="3">
        <f t="shared" si="11"/>
        <v>0.42654018805005245</v>
      </c>
      <c r="Z48" s="3"/>
      <c r="AA48" s="3"/>
      <c r="AB48" s="3"/>
      <c r="AC48" s="3"/>
      <c r="AD48" s="3"/>
      <c r="AE48" s="3"/>
      <c r="AF48" s="3"/>
      <c r="AG48" s="4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</row>
    <row r="49" spans="1:8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26"/>
      <c r="N49" s="26"/>
      <c r="O49" s="26"/>
      <c r="P49" s="26"/>
      <c r="Q49" s="26"/>
      <c r="R49" s="3"/>
      <c r="S49" s="3"/>
      <c r="T49" s="3"/>
      <c r="U49" s="3"/>
      <c r="V49" s="3"/>
      <c r="W49" s="3"/>
      <c r="X49" s="3"/>
      <c r="Y49" s="3">
        <f t="shared" si="11"/>
        <v>0.42654018805005245</v>
      </c>
      <c r="Z49" s="3"/>
      <c r="AA49" s="3"/>
      <c r="AB49" s="3"/>
      <c r="AC49" s="3"/>
      <c r="AD49" s="3"/>
      <c r="AE49" s="3"/>
      <c r="AF49" s="3"/>
      <c r="AG49" s="4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</row>
    <row r="50" spans="1:8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26"/>
      <c r="N50" s="26"/>
      <c r="O50" s="26"/>
      <c r="P50" s="26"/>
      <c r="Q50" s="26"/>
      <c r="R50" s="3"/>
      <c r="S50" s="3"/>
      <c r="T50" s="3"/>
      <c r="U50" s="3"/>
      <c r="V50" s="3"/>
      <c r="W50" s="3"/>
      <c r="X50" s="3"/>
      <c r="Y50" s="3">
        <f>1-((1-(X34/$C$9))^2.67)</f>
        <v>0.63227926824455571</v>
      </c>
      <c r="Z50" s="3"/>
      <c r="AA50" s="3"/>
      <c r="AB50" s="3"/>
      <c r="AC50" s="3"/>
      <c r="AD50" s="3"/>
      <c r="AE50" s="3"/>
      <c r="AF50" s="3"/>
      <c r="AG50" s="4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</row>
    <row r="51" spans="1:8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26"/>
      <c r="N51" s="26"/>
      <c r="O51" s="26"/>
      <c r="P51" s="26"/>
      <c r="Q51" s="26"/>
      <c r="R51" s="3"/>
      <c r="S51" s="3"/>
      <c r="T51" s="3"/>
      <c r="U51" s="3"/>
      <c r="V51" s="3"/>
      <c r="W51" s="3"/>
      <c r="X51" s="3"/>
      <c r="Y51" s="3">
        <f>1-((1-(X35/$C$9))^2.67)</f>
        <v>0.63227926824455571</v>
      </c>
      <c r="Z51" s="3"/>
      <c r="AA51" s="3"/>
      <c r="AB51" s="3"/>
      <c r="AC51" s="3"/>
      <c r="AD51" s="3"/>
      <c r="AE51" s="3"/>
      <c r="AF51" s="3"/>
      <c r="AG51" s="4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</row>
    <row r="52" spans="1:8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26"/>
      <c r="N52" s="26"/>
      <c r="O52" s="26"/>
      <c r="P52" s="26"/>
      <c r="Q52" s="26"/>
      <c r="R52" s="3"/>
      <c r="S52" s="3"/>
      <c r="T52" s="3"/>
      <c r="U52" s="3"/>
      <c r="V52" s="3"/>
      <c r="W52" s="3"/>
      <c r="X52" s="3"/>
      <c r="Y52" s="3">
        <f>1-((1-(X36/$C$9))^2.67)</f>
        <v>0.42654018805005245</v>
      </c>
      <c r="Z52" s="3"/>
      <c r="AA52" s="3"/>
      <c r="AB52" s="3"/>
      <c r="AC52" s="3"/>
      <c r="AD52" s="3"/>
      <c r="AE52" s="3"/>
      <c r="AF52" s="3"/>
      <c r="AG52" s="4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</row>
    <row r="53" spans="1:8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26"/>
      <c r="N53" s="26"/>
      <c r="O53" s="26"/>
      <c r="P53" s="26"/>
      <c r="Q53" s="26"/>
      <c r="R53" s="3"/>
      <c r="S53" s="3"/>
      <c r="T53" s="3"/>
      <c r="U53" s="3"/>
      <c r="V53" s="3"/>
      <c r="W53" s="3"/>
      <c r="X53" s="3"/>
      <c r="Y53" s="3">
        <f t="shared" ref="Y53:Y55" si="12">1-((1-(X37/$C$9))^2.67)</f>
        <v>0.42654018805005245</v>
      </c>
      <c r="Z53" s="3"/>
      <c r="AA53" s="3"/>
      <c r="AB53" s="3"/>
      <c r="AC53" s="3"/>
      <c r="AD53" s="3"/>
      <c r="AE53" s="3"/>
      <c r="AF53" s="3"/>
      <c r="AG53" s="4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</row>
    <row r="54" spans="1:8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26"/>
      <c r="N54" s="26"/>
      <c r="O54" s="26"/>
      <c r="P54" s="26"/>
      <c r="Q54" s="26"/>
      <c r="R54" s="3"/>
      <c r="S54" s="3"/>
      <c r="T54" s="3"/>
      <c r="U54" s="3"/>
      <c r="V54" s="3"/>
      <c r="W54" s="3"/>
      <c r="X54" s="3"/>
      <c r="Y54" s="3">
        <f t="shared" si="12"/>
        <v>0.63227926824455571</v>
      </c>
      <c r="Z54" s="3"/>
      <c r="AA54" s="3"/>
      <c r="AB54" s="3"/>
      <c r="AC54" s="3"/>
      <c r="AD54" s="3"/>
      <c r="AE54" s="3"/>
      <c r="AF54" s="3"/>
      <c r="AG54" s="4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</row>
    <row r="55" spans="1:8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3"/>
      <c r="S55" s="3"/>
      <c r="T55" s="3"/>
      <c r="U55" s="3"/>
      <c r="V55" s="3"/>
      <c r="W55" s="3"/>
      <c r="X55" s="3"/>
      <c r="Y55" s="3">
        <f t="shared" si="12"/>
        <v>0.63227926824455571</v>
      </c>
      <c r="Z55" s="3"/>
      <c r="AA55" s="3"/>
      <c r="AB55" s="3"/>
      <c r="AC55" s="3"/>
      <c r="AD55" s="3"/>
      <c r="AE55" s="3"/>
      <c r="AF55" s="3"/>
      <c r="AG55" s="4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</row>
    <row r="56" spans="1:80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4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</row>
    <row r="57" spans="1:8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4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</row>
    <row r="58" spans="1:8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4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</row>
    <row r="59" spans="1:80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4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</row>
    <row r="60" spans="1:80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4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</row>
    <row r="61" spans="1:80" x14ac:dyDescent="0.25">
      <c r="A61" s="27"/>
      <c r="B61" s="4"/>
      <c r="C61" s="4"/>
      <c r="D61" s="4"/>
      <c r="E61" s="27"/>
      <c r="F61" s="27"/>
      <c r="G61" s="27"/>
      <c r="H61" s="27"/>
      <c r="I61" s="27"/>
      <c r="J61" s="27"/>
      <c r="K61" s="27"/>
      <c r="L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</row>
    <row r="62" spans="1:80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</row>
    <row r="63" spans="1:80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</row>
    <row r="64" spans="1:80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</row>
    <row r="65" spans="1:80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</row>
    <row r="66" spans="1:80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</row>
    <row r="67" spans="1:80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</row>
    <row r="68" spans="1:80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</row>
    <row r="69" spans="1:80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</row>
    <row r="70" spans="1:80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</row>
    <row r="71" spans="1:80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</row>
    <row r="72" spans="1:80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</row>
    <row r="73" spans="1:80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</row>
    <row r="74" spans="1:80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</row>
    <row r="75" spans="1:80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</row>
    <row r="76" spans="1:80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</row>
    <row r="77" spans="1:80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</row>
    <row r="78" spans="1:80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</row>
    <row r="79" spans="1:80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</row>
    <row r="80" spans="1:80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</row>
    <row r="81" spans="1:80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</row>
    <row r="82" spans="1:80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</row>
    <row r="83" spans="1:80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</row>
    <row r="84" spans="1:80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</row>
    <row r="85" spans="1:80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</row>
    <row r="86" spans="1:80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</row>
    <row r="87" spans="1:80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</row>
    <row r="88" spans="1:80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</row>
    <row r="89" spans="1:80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</row>
    <row r="90" spans="1:80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</row>
    <row r="91" spans="1:80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</row>
    <row r="92" spans="1:80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</row>
    <row r="93" spans="1:80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</row>
    <row r="94" spans="1:80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</row>
    <row r="95" spans="1:80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</row>
    <row r="96" spans="1: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</row>
    <row r="97" spans="1:80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</row>
    <row r="98" spans="1:80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</row>
    <row r="99" spans="1:80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</row>
    <row r="100" spans="1:80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</row>
    <row r="101" spans="1:80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</row>
    <row r="102" spans="1:80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</row>
    <row r="103" spans="1:80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</row>
    <row r="104" spans="1:80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</row>
    <row r="105" spans="1:80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</row>
    <row r="106" spans="1:80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</row>
    <row r="107" spans="1:80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</row>
    <row r="108" spans="1:80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</row>
    <row r="109" spans="1:80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</row>
    <row r="110" spans="1:80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</row>
    <row r="111" spans="1:80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</row>
    <row r="112" spans="1:80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</row>
    <row r="113" spans="1:80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</row>
    <row r="114" spans="1:80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</row>
    <row r="115" spans="1:80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</row>
    <row r="116" spans="1:80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</row>
    <row r="117" spans="1:80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</row>
    <row r="118" spans="1:80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</row>
    <row r="119" spans="1:80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</row>
    <row r="120" spans="1:80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</row>
    <row r="121" spans="1:80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</row>
    <row r="122" spans="1:80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</row>
    <row r="123" spans="1:80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</row>
    <row r="124" spans="1:80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</row>
    <row r="125" spans="1:80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</row>
    <row r="126" spans="1:80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</row>
    <row r="127" spans="1:80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</row>
    <row r="128" spans="1:80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</row>
    <row r="129" spans="1:80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</row>
    <row r="130" spans="1:80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</row>
    <row r="131" spans="1:80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</row>
    <row r="132" spans="1:80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</row>
    <row r="133" spans="1:80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</row>
    <row r="134" spans="1:80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</row>
    <row r="135" spans="1:80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</row>
    <row r="136" spans="1:80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</row>
    <row r="137" spans="1:80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</row>
    <row r="138" spans="1:80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</row>
    <row r="139" spans="1:80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</row>
    <row r="140" spans="1:80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</row>
    <row r="141" spans="1:80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</row>
    <row r="142" spans="1:80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</row>
    <row r="143" spans="1:80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</row>
    <row r="144" spans="1:80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</row>
    <row r="145" spans="1:80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</row>
    <row r="146" spans="1:80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</row>
    <row r="147" spans="1:80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</row>
    <row r="148" spans="1:80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</row>
    <row r="149" spans="1:80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</row>
    <row r="150" spans="1:80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</row>
    <row r="151" spans="1:80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</row>
    <row r="152" spans="1:80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</row>
    <row r="153" spans="1:80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</row>
    <row r="154" spans="1:80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</row>
    <row r="155" spans="1:80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</row>
    <row r="156" spans="1:80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</row>
    <row r="157" spans="1:80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</row>
    <row r="158" spans="1:80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</row>
    <row r="159" spans="1:80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</row>
    <row r="160" spans="1:80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</row>
    <row r="161" spans="1:80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</row>
    <row r="162" spans="1:80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</row>
    <row r="163" spans="1:80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</row>
    <row r="164" spans="1:80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</row>
    <row r="165" spans="1:80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</row>
    <row r="166" spans="1:80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</row>
    <row r="167" spans="1:80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</row>
    <row r="168" spans="1:80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</row>
    <row r="169" spans="1:80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</row>
    <row r="170" spans="1:80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</row>
    <row r="171" spans="1:80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</row>
    <row r="172" spans="1:80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</row>
    <row r="173" spans="1:80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</row>
    <row r="174" spans="1:80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</row>
    <row r="175" spans="1:80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</row>
    <row r="176" spans="1:80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</row>
    <row r="177" spans="1:80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</row>
    <row r="178" spans="1:80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</row>
    <row r="179" spans="1:80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</row>
    <row r="180" spans="1:80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</row>
    <row r="181" spans="1:80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</row>
    <row r="182" spans="1:80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</row>
    <row r="183" spans="1:80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</row>
    <row r="184" spans="1:80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</row>
    <row r="185" spans="1:80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</row>
    <row r="186" spans="1:80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</row>
    <row r="187" spans="1:80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</row>
    <row r="188" spans="1:80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</row>
    <row r="189" spans="1:80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</row>
    <row r="190" spans="1:80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</row>
    <row r="191" spans="1:80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</row>
    <row r="192" spans="1:80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</row>
    <row r="193" spans="1:80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</row>
    <row r="194" spans="1:80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</row>
    <row r="195" spans="1:80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</row>
    <row r="196" spans="1:80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</row>
    <row r="197" spans="1:80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</row>
    <row r="198" spans="1:80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</row>
    <row r="199" spans="1:80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</row>
    <row r="200" spans="1:80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</row>
    <row r="201" spans="1:80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</row>
    <row r="202" spans="1:80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</row>
    <row r="203" spans="1:80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</row>
    <row r="204" spans="1:80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</row>
    <row r="205" spans="1:80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</row>
    <row r="206" spans="1:80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</row>
    <row r="207" spans="1:80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</row>
    <row r="208" spans="1:80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</row>
    <row r="209" spans="1:80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</row>
    <row r="210" spans="1:80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</row>
    <row r="211" spans="1:80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</row>
    <row r="212" spans="1:80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</row>
    <row r="213" spans="1:80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</row>
    <row r="214" spans="1:80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</row>
    <row r="215" spans="1:80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</row>
    <row r="216" spans="1:80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</row>
    <row r="217" spans="1:80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</row>
    <row r="218" spans="1:80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</row>
    <row r="219" spans="1:80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</row>
    <row r="220" spans="1:80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</row>
    <row r="221" spans="1:80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</row>
    <row r="222" spans="1:80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</row>
    <row r="223" spans="1:80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</row>
    <row r="224" spans="1:80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</row>
    <row r="225" spans="1:80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</row>
    <row r="226" spans="1:80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</row>
    <row r="227" spans="1:80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</row>
    <row r="228" spans="1:80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</row>
    <row r="229" spans="1:80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</row>
    <row r="230" spans="1:80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</row>
    <row r="231" spans="1:80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</row>
    <row r="232" spans="1:80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</row>
    <row r="233" spans="1:80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</row>
    <row r="234" spans="1:80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</row>
    <row r="235" spans="1:80" x14ac:dyDescent="0.2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</row>
    <row r="236" spans="1:80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</row>
    <row r="237" spans="1:80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</row>
    <row r="238" spans="1:80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</row>
    <row r="239" spans="1:80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</row>
    <row r="240" spans="1:80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</row>
    <row r="241" spans="1:80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</row>
    <row r="242" spans="1:80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</row>
    <row r="243" spans="1:80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</row>
    <row r="244" spans="1:80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</row>
    <row r="245" spans="1:80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</row>
    <row r="246" spans="1:80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</row>
    <row r="247" spans="1:80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</row>
    <row r="248" spans="1:80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</row>
    <row r="249" spans="1:80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</row>
    <row r="250" spans="1:80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</row>
    <row r="251" spans="1:80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</row>
    <row r="252" spans="1:80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</row>
    <row r="253" spans="1:80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</row>
    <row r="254" spans="1:80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</row>
    <row r="255" spans="1:80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</row>
    <row r="256" spans="1:80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</row>
    <row r="257" spans="1:80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</row>
    <row r="258" spans="1:80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</row>
    <row r="259" spans="1:80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</row>
    <row r="260" spans="1:80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</row>
    <row r="261" spans="1:80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</row>
    <row r="262" spans="1:80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</row>
    <row r="263" spans="1:80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</row>
    <row r="264" spans="1:80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</row>
    <row r="265" spans="1:80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</row>
    <row r="266" spans="1:80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</row>
    <row r="267" spans="1:80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</row>
    <row r="268" spans="1:80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</row>
    <row r="269" spans="1:80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</row>
    <row r="270" spans="1:80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</row>
    <row r="271" spans="1:80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</row>
    <row r="272" spans="1:80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</row>
    <row r="273" spans="1:80" x14ac:dyDescent="0.2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</row>
    <row r="274" spans="1:80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</row>
    <row r="275" spans="1:80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</row>
    <row r="276" spans="1:80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</row>
    <row r="277" spans="1:80" x14ac:dyDescent="0.2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</row>
    <row r="278" spans="1:80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</row>
    <row r="279" spans="1:80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</row>
    <row r="280" spans="1:80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</row>
    <row r="281" spans="1:80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</row>
    <row r="282" spans="1:80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</row>
    <row r="283" spans="1:80" x14ac:dyDescent="0.2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</row>
    <row r="284" spans="1:80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</row>
    <row r="285" spans="1:80" x14ac:dyDescent="0.2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</row>
    <row r="286" spans="1:80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</row>
    <row r="287" spans="1:80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</row>
    <row r="288" spans="1:80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</row>
    <row r="289" spans="1:80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</row>
    <row r="290" spans="1:80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</row>
    <row r="291" spans="1:80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</row>
    <row r="292" spans="1:80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</row>
    <row r="293" spans="1:80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</row>
    <row r="294" spans="1:80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</row>
    <row r="295" spans="1:80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</row>
    <row r="296" spans="1:80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</row>
    <row r="297" spans="1:80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</row>
    <row r="298" spans="1:80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</row>
    <row r="299" spans="1:80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</row>
    <row r="300" spans="1:80" x14ac:dyDescent="0.2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</row>
    <row r="301" spans="1:80" x14ac:dyDescent="0.2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</row>
    <row r="302" spans="1:80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</row>
    <row r="303" spans="1:80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</row>
    <row r="304" spans="1:80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</row>
    <row r="305" spans="1:80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</row>
    <row r="306" spans="1:80" x14ac:dyDescent="0.2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</row>
    <row r="307" spans="1:80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</row>
    <row r="308" spans="1:80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</row>
    <row r="309" spans="1:80" x14ac:dyDescent="0.2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</row>
    <row r="310" spans="1:80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</row>
    <row r="311" spans="1:80" x14ac:dyDescent="0.2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</row>
    <row r="312" spans="1:80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</row>
    <row r="313" spans="1:80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</row>
    <row r="314" spans="1:80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</row>
    <row r="315" spans="1:80" x14ac:dyDescent="0.2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</row>
    <row r="316" spans="1:80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</row>
    <row r="317" spans="1:80" x14ac:dyDescent="0.2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</row>
    <row r="318" spans="1:80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</row>
    <row r="319" spans="1:80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</row>
    <row r="320" spans="1:80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</row>
    <row r="321" spans="1:80" x14ac:dyDescent="0.2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</row>
    <row r="322" spans="1:80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</row>
    <row r="323" spans="1:80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</row>
    <row r="324" spans="1:80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</row>
    <row r="325" spans="1:80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</row>
    <row r="326" spans="1:80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</row>
    <row r="327" spans="1:80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</row>
    <row r="328" spans="1:80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</row>
    <row r="329" spans="1:80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</row>
    <row r="330" spans="1:80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</row>
    <row r="331" spans="1:80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</row>
    <row r="332" spans="1:80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</row>
    <row r="333" spans="1:80" x14ac:dyDescent="0.2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</row>
    <row r="334" spans="1:80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</row>
    <row r="335" spans="1:80" x14ac:dyDescent="0.2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</row>
    <row r="336" spans="1:80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</row>
    <row r="337" spans="1:80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</row>
    <row r="338" spans="1:80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</row>
    <row r="339" spans="1:80" x14ac:dyDescent="0.2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</row>
    <row r="340" spans="1:80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</row>
    <row r="341" spans="1:80" x14ac:dyDescent="0.2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</row>
    <row r="342" spans="1:80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</row>
    <row r="343" spans="1:80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</row>
    <row r="344" spans="1:80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</row>
    <row r="345" spans="1:80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</row>
    <row r="346" spans="1:80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</row>
    <row r="347" spans="1:80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</row>
    <row r="348" spans="1:80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</row>
    <row r="349" spans="1:80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</row>
    <row r="350" spans="1:80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</row>
    <row r="351" spans="1:80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</row>
    <row r="352" spans="1:80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</row>
    <row r="353" spans="1:80" x14ac:dyDescent="0.2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</row>
    <row r="354" spans="1:80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</row>
    <row r="355" spans="1:80" x14ac:dyDescent="0.2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</row>
    <row r="356" spans="1:80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</row>
    <row r="357" spans="1:80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</row>
    <row r="358" spans="1:80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</row>
    <row r="359" spans="1:80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</row>
    <row r="360" spans="1:80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</row>
    <row r="361" spans="1:80" x14ac:dyDescent="0.2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</row>
    <row r="362" spans="1:80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</row>
    <row r="363" spans="1:80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</row>
    <row r="364" spans="1:80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</row>
    <row r="365" spans="1:80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</row>
    <row r="366" spans="1:80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</row>
    <row r="367" spans="1:80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</row>
    <row r="368" spans="1:80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</row>
    <row r="369" spans="1:80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</row>
    <row r="370" spans="1:80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</row>
    <row r="371" spans="1:80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</row>
    <row r="372" spans="1:80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</row>
    <row r="373" spans="1:80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</row>
    <row r="374" spans="1:80" x14ac:dyDescent="0.2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</row>
    <row r="375" spans="1:80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</row>
    <row r="376" spans="1:80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</row>
    <row r="377" spans="1:80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</row>
    <row r="378" spans="1:80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</row>
    <row r="379" spans="1:80" x14ac:dyDescent="0.2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</row>
    <row r="380" spans="1:80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</row>
    <row r="381" spans="1:80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</row>
    <row r="382" spans="1:80" x14ac:dyDescent="0.2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</row>
    <row r="383" spans="1:80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</row>
    <row r="384" spans="1:80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</row>
    <row r="385" spans="1:80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</row>
    <row r="386" spans="1:80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</row>
    <row r="387" spans="1:80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</row>
    <row r="388" spans="1:80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</row>
    <row r="389" spans="1:80" x14ac:dyDescent="0.2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</row>
    <row r="390" spans="1:80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</row>
    <row r="391" spans="1:80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</row>
    <row r="392" spans="1:80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</row>
    <row r="393" spans="1:80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</row>
    <row r="394" spans="1:80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</row>
    <row r="395" spans="1:80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</row>
    <row r="396" spans="1:80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</row>
    <row r="397" spans="1:80" x14ac:dyDescent="0.2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</row>
    <row r="398" spans="1:80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</row>
    <row r="399" spans="1:80" x14ac:dyDescent="0.2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</row>
    <row r="400" spans="1:80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</row>
    <row r="401" spans="1:80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</row>
    <row r="402" spans="1:80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</row>
    <row r="403" spans="1:80" x14ac:dyDescent="0.2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</row>
    <row r="404" spans="1:80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</row>
    <row r="405" spans="1:80" x14ac:dyDescent="0.2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</row>
    <row r="406" spans="1:80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</row>
    <row r="407" spans="1:80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</row>
    <row r="408" spans="1:80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</row>
    <row r="409" spans="1:80" x14ac:dyDescent="0.2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</row>
    <row r="410" spans="1:80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</row>
    <row r="411" spans="1:80" x14ac:dyDescent="0.2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</row>
    <row r="412" spans="1:80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</row>
    <row r="413" spans="1:80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</row>
    <row r="414" spans="1:80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</row>
    <row r="415" spans="1:80" x14ac:dyDescent="0.2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</row>
    <row r="416" spans="1:80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</row>
    <row r="417" spans="1:80" x14ac:dyDescent="0.2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</row>
    <row r="418" spans="1:80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</row>
    <row r="419" spans="1:80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</row>
    <row r="420" spans="1:80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</row>
    <row r="421" spans="1:80" x14ac:dyDescent="0.2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</row>
    <row r="422" spans="1:80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</row>
    <row r="423" spans="1:80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</row>
    <row r="424" spans="1:80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</row>
    <row r="425" spans="1:80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</row>
    <row r="426" spans="1:80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</row>
    <row r="427" spans="1:80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</row>
    <row r="428" spans="1:80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</row>
    <row r="429" spans="1:80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</row>
    <row r="430" spans="1:80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</row>
    <row r="431" spans="1:80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</row>
    <row r="432" spans="1:80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</row>
    <row r="433" spans="1:80" x14ac:dyDescent="0.2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</row>
    <row r="434" spans="1:80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</row>
    <row r="435" spans="1:80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</row>
    <row r="436" spans="1:80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</row>
    <row r="437" spans="1:80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</row>
    <row r="438" spans="1:80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</row>
    <row r="439" spans="1:80" x14ac:dyDescent="0.2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</row>
    <row r="440" spans="1:80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</row>
    <row r="441" spans="1:80" x14ac:dyDescent="0.2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</row>
    <row r="442" spans="1:80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</row>
    <row r="443" spans="1:80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</row>
    <row r="444" spans="1:80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</row>
    <row r="445" spans="1:80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</row>
    <row r="446" spans="1:80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</row>
    <row r="447" spans="1:80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</row>
    <row r="448" spans="1:80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</row>
    <row r="449" spans="1:80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</row>
    <row r="450" spans="1:80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</row>
    <row r="451" spans="1:80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</row>
    <row r="452" spans="1:80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</row>
    <row r="453" spans="1:80" x14ac:dyDescent="0.2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</row>
    <row r="454" spans="1:80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</row>
    <row r="455" spans="1:80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</row>
    <row r="456" spans="1:80" x14ac:dyDescent="0.2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</row>
    <row r="457" spans="1:80" x14ac:dyDescent="0.2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</row>
    <row r="458" spans="1:80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</row>
    <row r="459" spans="1:80" x14ac:dyDescent="0.2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</row>
    <row r="460" spans="1:80" x14ac:dyDescent="0.2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</row>
    <row r="461" spans="1:80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</row>
    <row r="462" spans="1:80" x14ac:dyDescent="0.2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</row>
    <row r="463" spans="1:80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</row>
    <row r="464" spans="1:80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</row>
    <row r="465" spans="1:80" x14ac:dyDescent="0.2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</row>
    <row r="466" spans="1:80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</row>
    <row r="467" spans="1:80" x14ac:dyDescent="0.2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</row>
    <row r="468" spans="1:80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</row>
    <row r="469" spans="1:80" x14ac:dyDescent="0.2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</row>
    <row r="470" spans="1:80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</row>
    <row r="471" spans="1:80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</row>
    <row r="472" spans="1:80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</row>
    <row r="473" spans="1:80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</row>
    <row r="474" spans="1:80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</row>
    <row r="475" spans="1:80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</row>
    <row r="476" spans="1:80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</row>
    <row r="477" spans="1:80" x14ac:dyDescent="0.2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</row>
    <row r="478" spans="1:80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</row>
    <row r="479" spans="1:80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</row>
    <row r="480" spans="1:80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</row>
    <row r="481" spans="1:80" x14ac:dyDescent="0.2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</row>
    <row r="482" spans="1:80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</row>
    <row r="483" spans="1:80" x14ac:dyDescent="0.2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</row>
    <row r="484" spans="1:80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</row>
    <row r="485" spans="1:80" x14ac:dyDescent="0.2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</row>
    <row r="486" spans="1:80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</row>
    <row r="487" spans="1:80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</row>
    <row r="488" spans="1:80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</row>
    <row r="489" spans="1:80" x14ac:dyDescent="0.2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</row>
    <row r="490" spans="1:80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</row>
    <row r="491" spans="1:80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</row>
    <row r="492" spans="1:80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</row>
    <row r="493" spans="1:80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</row>
    <row r="494" spans="1:80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</row>
    <row r="495" spans="1:80" x14ac:dyDescent="0.2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</row>
    <row r="496" spans="1:80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</row>
    <row r="497" spans="1:80" x14ac:dyDescent="0.2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</row>
    <row r="498" spans="1:80" x14ac:dyDescent="0.2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</row>
    <row r="499" spans="1:80" x14ac:dyDescent="0.2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</row>
    <row r="500" spans="1:80" x14ac:dyDescent="0.2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</row>
    <row r="501" spans="1:80" x14ac:dyDescent="0.2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</row>
    <row r="502" spans="1:80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</row>
    <row r="503" spans="1:80" x14ac:dyDescent="0.2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</row>
    <row r="504" spans="1:80" x14ac:dyDescent="0.2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</row>
    <row r="505" spans="1:80" x14ac:dyDescent="0.2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</row>
    <row r="506" spans="1:80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</row>
    <row r="507" spans="1:80" x14ac:dyDescent="0.2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</row>
    <row r="508" spans="1:80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</row>
    <row r="509" spans="1:80" x14ac:dyDescent="0.2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</row>
    <row r="510" spans="1:80" x14ac:dyDescent="0.2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</row>
    <row r="511" spans="1:80" x14ac:dyDescent="0.2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</row>
    <row r="512" spans="1:80" x14ac:dyDescent="0.2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</row>
    <row r="513" spans="1:80" x14ac:dyDescent="0.2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</row>
    <row r="514" spans="1:80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</row>
    <row r="515" spans="1:80" x14ac:dyDescent="0.2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</row>
    <row r="516" spans="1:80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</row>
    <row r="517" spans="1:80" x14ac:dyDescent="0.2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</row>
    <row r="518" spans="1:80" x14ac:dyDescent="0.2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</row>
    <row r="519" spans="1:80" x14ac:dyDescent="0.2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</row>
    <row r="520" spans="1:80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</row>
    <row r="521" spans="1:80" x14ac:dyDescent="0.2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</row>
    <row r="522" spans="1:80" x14ac:dyDescent="0.2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</row>
    <row r="523" spans="1:80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</row>
    <row r="524" spans="1:80" x14ac:dyDescent="0.2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</row>
    <row r="525" spans="1:80" x14ac:dyDescent="0.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</row>
    <row r="526" spans="1:80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</row>
    <row r="527" spans="1:80" x14ac:dyDescent="0.2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</row>
    <row r="528" spans="1:80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</row>
    <row r="529" spans="1:80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</row>
    <row r="530" spans="1:80" x14ac:dyDescent="0.2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</row>
    <row r="531" spans="1:80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</row>
    <row r="532" spans="1:80" x14ac:dyDescent="0.2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</row>
    <row r="533" spans="1:80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</row>
    <row r="534" spans="1:80" x14ac:dyDescent="0.2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</row>
    <row r="535" spans="1:80" x14ac:dyDescent="0.2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</row>
    <row r="536" spans="1:80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</row>
    <row r="537" spans="1:80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</row>
    <row r="538" spans="1:80" x14ac:dyDescent="0.2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</row>
    <row r="539" spans="1:80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</row>
    <row r="540" spans="1:80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</row>
    <row r="541" spans="1:80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</row>
    <row r="542" spans="1:80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</row>
    <row r="543" spans="1:80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</row>
    <row r="544" spans="1:80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</row>
    <row r="545" spans="1:80" x14ac:dyDescent="0.2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</row>
    <row r="546" spans="1:80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</row>
    <row r="547" spans="1:80" x14ac:dyDescent="0.2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</row>
    <row r="548" spans="1:80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</row>
    <row r="549" spans="1:80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</row>
    <row r="550" spans="1:80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</row>
    <row r="551" spans="1:80" x14ac:dyDescent="0.2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</row>
    <row r="552" spans="1:80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</row>
    <row r="553" spans="1:80" x14ac:dyDescent="0.2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</row>
    <row r="554" spans="1:80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</row>
    <row r="555" spans="1:80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</row>
    <row r="556" spans="1:80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</row>
    <row r="557" spans="1:80" x14ac:dyDescent="0.2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</row>
    <row r="558" spans="1:80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</row>
    <row r="559" spans="1:80" x14ac:dyDescent="0.2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</row>
    <row r="560" spans="1:80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</row>
    <row r="561" spans="1:80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</row>
    <row r="562" spans="1:80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</row>
    <row r="563" spans="1:80" x14ac:dyDescent="0.2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</row>
    <row r="564" spans="1:80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</row>
    <row r="565" spans="1:80" x14ac:dyDescent="0.2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</row>
    <row r="566" spans="1:80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</row>
    <row r="567" spans="1:80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</row>
    <row r="568" spans="1:80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</row>
    <row r="569" spans="1:80" x14ac:dyDescent="0.2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</row>
    <row r="570" spans="1:80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</row>
    <row r="571" spans="1:80" x14ac:dyDescent="0.2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</row>
    <row r="572" spans="1:80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</row>
    <row r="573" spans="1:80" x14ac:dyDescent="0.2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</row>
    <row r="574" spans="1:80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</row>
    <row r="575" spans="1:80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</row>
    <row r="576" spans="1:80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</row>
    <row r="577" spans="1:80" x14ac:dyDescent="0.2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</row>
    <row r="578" spans="1:80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</row>
    <row r="579" spans="1:80" x14ac:dyDescent="0.2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</row>
    <row r="580" spans="1:80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</row>
    <row r="581" spans="1:80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</row>
    <row r="582" spans="1:80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</row>
    <row r="583" spans="1:80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</row>
    <row r="584" spans="1:80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</row>
    <row r="585" spans="1:80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</row>
    <row r="586" spans="1:80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</row>
    <row r="587" spans="1:80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</row>
    <row r="588" spans="1:80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</row>
    <row r="589" spans="1:80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</row>
    <row r="590" spans="1:80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</row>
    <row r="591" spans="1:80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</row>
    <row r="592" spans="1:80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</row>
    <row r="593" spans="1:80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</row>
    <row r="594" spans="1:80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</row>
    <row r="595" spans="1:80" x14ac:dyDescent="0.2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</row>
    <row r="596" spans="1:80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</row>
    <row r="597" spans="1:80" x14ac:dyDescent="0.2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</row>
    <row r="598" spans="1:80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</row>
    <row r="599" spans="1:80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</row>
    <row r="600" spans="1:80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</row>
    <row r="601" spans="1:80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</row>
    <row r="602" spans="1:80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</row>
    <row r="603" spans="1:80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</row>
    <row r="604" spans="1:80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</row>
    <row r="605" spans="1:80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</row>
    <row r="606" spans="1:80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</row>
    <row r="607" spans="1:80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</row>
    <row r="608" spans="1:80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</row>
    <row r="609" spans="1:80" x14ac:dyDescent="0.2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</row>
    <row r="610" spans="1:80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</row>
    <row r="611" spans="1:80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</row>
    <row r="612" spans="1:80" x14ac:dyDescent="0.2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</row>
    <row r="613" spans="1:80" x14ac:dyDescent="0.2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</row>
    <row r="614" spans="1:80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</row>
    <row r="615" spans="1:80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</row>
    <row r="616" spans="1:80" x14ac:dyDescent="0.2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</row>
    <row r="617" spans="1:80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</row>
    <row r="618" spans="1:80" x14ac:dyDescent="0.2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</row>
    <row r="619" spans="1:80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</row>
    <row r="620" spans="1:80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</row>
    <row r="621" spans="1:80" x14ac:dyDescent="0.2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</row>
    <row r="622" spans="1:80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</row>
    <row r="623" spans="1:80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</row>
    <row r="624" spans="1:80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</row>
    <row r="625" spans="1:80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</row>
    <row r="626" spans="1:80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</row>
    <row r="627" spans="1:80" x14ac:dyDescent="0.2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</row>
    <row r="628" spans="1:80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  <c r="BZ628" s="27"/>
      <c r="CA628" s="27"/>
      <c r="CB628" s="27"/>
    </row>
    <row r="629" spans="1:80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</row>
    <row r="630" spans="1:80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</row>
    <row r="631" spans="1:80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</row>
    <row r="632" spans="1:80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</row>
    <row r="633" spans="1:80" x14ac:dyDescent="0.2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/>
      <c r="CA633" s="27"/>
      <c r="CB633" s="27"/>
    </row>
    <row r="634" spans="1:80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  <c r="BZ634" s="27"/>
      <c r="CA634" s="27"/>
      <c r="CB634" s="27"/>
    </row>
    <row r="635" spans="1:80" x14ac:dyDescent="0.2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</row>
    <row r="636" spans="1:80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</row>
    <row r="637" spans="1:80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</row>
    <row r="638" spans="1:80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/>
      <c r="CA638" s="27"/>
      <c r="CB638" s="27"/>
    </row>
    <row r="639" spans="1:80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</row>
    <row r="640" spans="1:80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</row>
    <row r="641" spans="1:80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</row>
    <row r="642" spans="1:80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</row>
    <row r="643" spans="1:80" x14ac:dyDescent="0.2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</row>
    <row r="644" spans="1:80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</row>
    <row r="645" spans="1:80" x14ac:dyDescent="0.2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</row>
    <row r="646" spans="1:80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  <c r="BZ646" s="27"/>
      <c r="CA646" s="27"/>
      <c r="CB646" s="27"/>
    </row>
    <row r="647" spans="1:80" x14ac:dyDescent="0.2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  <c r="BZ647" s="27"/>
      <c r="CA647" s="27"/>
      <c r="CB647" s="27"/>
    </row>
    <row r="648" spans="1:80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</row>
    <row r="649" spans="1:80" x14ac:dyDescent="0.2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</row>
    <row r="650" spans="1:80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  <c r="BZ650" s="27"/>
      <c r="CA650" s="27"/>
      <c r="CB650" s="27"/>
    </row>
    <row r="651" spans="1:80" x14ac:dyDescent="0.2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  <c r="BZ651" s="27"/>
      <c r="CA651" s="27"/>
      <c r="CB651" s="27"/>
    </row>
    <row r="652" spans="1:80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</row>
    <row r="653" spans="1:80" x14ac:dyDescent="0.2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</row>
    <row r="654" spans="1:80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  <c r="BZ654" s="27"/>
      <c r="CA654" s="27"/>
      <c r="CB654" s="27"/>
    </row>
    <row r="655" spans="1:80" x14ac:dyDescent="0.2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</row>
    <row r="656" spans="1:80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  <c r="BZ656" s="27"/>
      <c r="CA656" s="27"/>
      <c r="CB656" s="27"/>
    </row>
    <row r="657" spans="1:80" x14ac:dyDescent="0.2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</row>
    <row r="658" spans="1:80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</row>
    <row r="659" spans="1:80" x14ac:dyDescent="0.2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</row>
    <row r="660" spans="1:80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  <c r="BZ660" s="27"/>
      <c r="CA660" s="27"/>
      <c r="CB660" s="27"/>
    </row>
    <row r="661" spans="1:80" x14ac:dyDescent="0.2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  <c r="BZ661" s="27"/>
      <c r="CA661" s="27"/>
      <c r="CB661" s="27"/>
    </row>
    <row r="662" spans="1:80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  <c r="BZ662" s="27"/>
      <c r="CA662" s="27"/>
      <c r="CB662" s="27"/>
    </row>
    <row r="663" spans="1:80" x14ac:dyDescent="0.2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</row>
    <row r="664" spans="1:80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/>
      <c r="CB664" s="27"/>
    </row>
    <row r="665" spans="1:80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</row>
    <row r="666" spans="1:80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  <c r="BZ666" s="27"/>
      <c r="CA666" s="27"/>
      <c r="CB666" s="27"/>
    </row>
    <row r="667" spans="1:80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  <c r="BZ667" s="27"/>
      <c r="CA667" s="27"/>
      <c r="CB667" s="27"/>
    </row>
    <row r="668" spans="1:80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  <c r="BZ668" s="27"/>
      <c r="CA668" s="27"/>
      <c r="CB668" s="27"/>
    </row>
    <row r="669" spans="1:80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  <c r="BZ669" s="27"/>
      <c r="CA669" s="27"/>
      <c r="CB669" s="27"/>
    </row>
    <row r="670" spans="1:80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  <c r="BZ670" s="27"/>
      <c r="CA670" s="27"/>
      <c r="CB670" s="27"/>
    </row>
    <row r="671" spans="1:80" x14ac:dyDescent="0.2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</row>
    <row r="672" spans="1:80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  <c r="BZ672" s="27"/>
      <c r="CA672" s="27"/>
      <c r="CB672" s="27"/>
    </row>
    <row r="673" spans="1:80" x14ac:dyDescent="0.2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/>
    </row>
    <row r="674" spans="1:80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</row>
    <row r="675" spans="1:80" x14ac:dyDescent="0.2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  <c r="BZ675" s="27"/>
      <c r="CA675" s="27"/>
      <c r="CB675" s="27"/>
    </row>
    <row r="676" spans="1:80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  <c r="BZ676" s="27"/>
      <c r="CA676" s="27"/>
      <c r="CB676" s="27"/>
    </row>
    <row r="677" spans="1:80" x14ac:dyDescent="0.2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  <c r="BZ677" s="27"/>
      <c r="CA677" s="27"/>
      <c r="CB677" s="27"/>
    </row>
    <row r="678" spans="1:80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  <c r="BZ678" s="27"/>
      <c r="CA678" s="27"/>
      <c r="CB678" s="27"/>
    </row>
    <row r="679" spans="1:80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  <c r="BZ679" s="27"/>
      <c r="CA679" s="27"/>
      <c r="CB679" s="27"/>
    </row>
    <row r="680" spans="1:80" x14ac:dyDescent="0.2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  <c r="BY680" s="27"/>
      <c r="BZ680" s="27"/>
      <c r="CA680" s="27"/>
      <c r="CB680" s="27"/>
    </row>
    <row r="681" spans="1:80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  <c r="BY681" s="27"/>
      <c r="BZ681" s="27"/>
      <c r="CA681" s="27"/>
      <c r="CB681" s="27"/>
    </row>
    <row r="682" spans="1:80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/>
      <c r="BZ682" s="27"/>
      <c r="CA682" s="27"/>
      <c r="CB682" s="27"/>
    </row>
    <row r="683" spans="1:80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  <c r="BZ683" s="27"/>
      <c r="CA683" s="27"/>
      <c r="CB683" s="27"/>
    </row>
    <row r="684" spans="1:80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  <c r="BZ684" s="27"/>
      <c r="CA684" s="27"/>
      <c r="CB684" s="27"/>
    </row>
    <row r="685" spans="1:80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  <c r="BY685" s="27"/>
      <c r="BZ685" s="27"/>
      <c r="CA685" s="27"/>
      <c r="CB685" s="27"/>
    </row>
    <row r="686" spans="1:80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  <c r="BZ686" s="27"/>
      <c r="CA686" s="27"/>
      <c r="CB686" s="27"/>
    </row>
    <row r="687" spans="1:80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  <c r="BZ687" s="27"/>
      <c r="CA687" s="27"/>
      <c r="CB687" s="27"/>
    </row>
    <row r="688" spans="1:80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  <c r="BZ688" s="27"/>
      <c r="CA688" s="27"/>
      <c r="CB688" s="27"/>
    </row>
    <row r="689" spans="1:80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  <c r="BY689" s="27"/>
      <c r="BZ689" s="27"/>
      <c r="CA689" s="27"/>
      <c r="CB689" s="27"/>
    </row>
    <row r="690" spans="1:80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  <c r="BZ690" s="27"/>
      <c r="CA690" s="27"/>
      <c r="CB690" s="27"/>
    </row>
    <row r="691" spans="1:80" x14ac:dyDescent="0.2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  <c r="BY691" s="27"/>
      <c r="BZ691" s="27"/>
      <c r="CA691" s="27"/>
      <c r="CB691" s="27"/>
    </row>
    <row r="692" spans="1:80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  <c r="BY692" s="27"/>
      <c r="BZ692" s="27"/>
      <c r="CA692" s="27"/>
      <c r="CB692" s="27"/>
    </row>
    <row r="693" spans="1:80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  <c r="BZ693" s="27"/>
      <c r="CA693" s="27"/>
      <c r="CB693" s="27"/>
    </row>
    <row r="694" spans="1:80" x14ac:dyDescent="0.2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  <c r="BZ694" s="27"/>
      <c r="CA694" s="27"/>
      <c r="CB694" s="27"/>
    </row>
    <row r="695" spans="1:80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  <c r="BZ695" s="27"/>
      <c r="CA695" s="27"/>
      <c r="CB695" s="27"/>
    </row>
    <row r="696" spans="1:80" x14ac:dyDescent="0.2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  <c r="BY696" s="27"/>
      <c r="BZ696" s="27"/>
      <c r="CA696" s="27"/>
      <c r="CB696" s="27"/>
    </row>
    <row r="697" spans="1:80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  <c r="BY697" s="27"/>
      <c r="BZ697" s="27"/>
      <c r="CA697" s="27"/>
      <c r="CB697" s="27"/>
    </row>
    <row r="698" spans="1:80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  <c r="BY698" s="27"/>
      <c r="BZ698" s="27"/>
      <c r="CA698" s="27"/>
      <c r="CB698" s="27"/>
    </row>
    <row r="699" spans="1:80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  <c r="BY699" s="27"/>
      <c r="BZ699" s="27"/>
      <c r="CA699" s="27"/>
      <c r="CB699" s="27"/>
    </row>
    <row r="700" spans="1:80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  <c r="BZ700" s="27"/>
      <c r="CA700" s="27"/>
      <c r="CB700" s="27"/>
    </row>
    <row r="701" spans="1:80" x14ac:dyDescent="0.2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  <c r="BY701" s="27"/>
      <c r="BZ701" s="27"/>
      <c r="CA701" s="27"/>
      <c r="CB701" s="27"/>
    </row>
    <row r="702" spans="1:80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  <c r="BY702" s="27"/>
      <c r="BZ702" s="27"/>
      <c r="CA702" s="27"/>
      <c r="CB702" s="27"/>
    </row>
    <row r="703" spans="1:80" x14ac:dyDescent="0.2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  <c r="BZ703" s="27"/>
      <c r="CA703" s="27"/>
      <c r="CB703" s="27"/>
    </row>
    <row r="704" spans="1:80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  <c r="BZ704" s="27"/>
      <c r="CA704" s="27"/>
      <c r="CB704" s="27"/>
    </row>
    <row r="705" spans="1:80" x14ac:dyDescent="0.2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  <c r="BZ705" s="27"/>
      <c r="CA705" s="27"/>
      <c r="CB705" s="27"/>
    </row>
    <row r="706" spans="1:80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  <c r="BZ706" s="27"/>
      <c r="CA706" s="27"/>
      <c r="CB706" s="27"/>
    </row>
    <row r="707" spans="1:80" x14ac:dyDescent="0.2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  <c r="BY707" s="27"/>
      <c r="BZ707" s="27"/>
      <c r="CA707" s="27"/>
      <c r="CB707" s="27"/>
    </row>
    <row r="708" spans="1:80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  <c r="BY708" s="27"/>
      <c r="BZ708" s="27"/>
      <c r="CA708" s="27"/>
      <c r="CB708" s="27"/>
    </row>
    <row r="709" spans="1:80" x14ac:dyDescent="0.2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</row>
    <row r="710" spans="1:80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  <c r="BZ710" s="27"/>
      <c r="CA710" s="27"/>
      <c r="CB710" s="27"/>
    </row>
    <row r="711" spans="1:80" x14ac:dyDescent="0.2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  <c r="BZ711" s="27"/>
      <c r="CA711" s="27"/>
      <c r="CB711" s="27"/>
    </row>
    <row r="712" spans="1:80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  <c r="BZ712" s="27"/>
      <c r="CA712" s="27"/>
      <c r="CB712" s="27"/>
    </row>
    <row r="713" spans="1:80" x14ac:dyDescent="0.2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  <c r="BY713" s="27"/>
      <c r="BZ713" s="27"/>
      <c r="CA713" s="27"/>
      <c r="CB713" s="27"/>
    </row>
    <row r="714" spans="1:80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  <c r="BY714" s="27"/>
      <c r="BZ714" s="27"/>
      <c r="CA714" s="27"/>
      <c r="CB714" s="27"/>
    </row>
    <row r="715" spans="1:80" x14ac:dyDescent="0.2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  <c r="BZ715" s="27"/>
      <c r="CA715" s="27"/>
      <c r="CB715" s="27"/>
    </row>
    <row r="716" spans="1:80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7"/>
      <c r="BZ716" s="27"/>
      <c r="CA716" s="27"/>
      <c r="CB716" s="27"/>
    </row>
    <row r="717" spans="1:80" x14ac:dyDescent="0.2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  <c r="BZ717" s="27"/>
      <c r="CA717" s="27"/>
      <c r="CB717" s="27"/>
    </row>
    <row r="718" spans="1:80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  <c r="BZ718" s="27"/>
      <c r="CA718" s="27"/>
      <c r="CB718" s="27"/>
    </row>
    <row r="719" spans="1:80" x14ac:dyDescent="0.2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  <c r="BZ719" s="27"/>
      <c r="CA719" s="27"/>
      <c r="CB719" s="27"/>
    </row>
    <row r="720" spans="1:80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  <c r="BZ720" s="27"/>
      <c r="CA720" s="27"/>
      <c r="CB720" s="27"/>
    </row>
    <row r="721" spans="1:80" x14ac:dyDescent="0.2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  <c r="BZ721" s="27"/>
      <c r="CA721" s="27"/>
      <c r="CB721" s="27"/>
    </row>
    <row r="722" spans="1:80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  <c r="BY722" s="27"/>
      <c r="BZ722" s="27"/>
      <c r="CA722" s="27"/>
      <c r="CB722" s="27"/>
    </row>
    <row r="723" spans="1:80" x14ac:dyDescent="0.2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  <c r="BY723" s="27"/>
      <c r="BZ723" s="27"/>
      <c r="CA723" s="27"/>
      <c r="CB723" s="27"/>
    </row>
    <row r="724" spans="1:80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  <c r="BZ724" s="27"/>
      <c r="CA724" s="27"/>
      <c r="CB724" s="27"/>
    </row>
    <row r="725" spans="1:80" x14ac:dyDescent="0.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  <c r="BZ725" s="27"/>
      <c r="CA725" s="27"/>
      <c r="CB725" s="27"/>
    </row>
    <row r="726" spans="1:80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7"/>
      <c r="BZ726" s="27"/>
      <c r="CA726" s="27"/>
      <c r="CB726" s="27"/>
    </row>
    <row r="727" spans="1:80" x14ac:dyDescent="0.2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  <c r="BZ727" s="27"/>
      <c r="CA727" s="27"/>
      <c r="CB727" s="27"/>
    </row>
    <row r="728" spans="1:80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  <c r="BY728" s="27"/>
      <c r="BZ728" s="27"/>
      <c r="CA728" s="27"/>
      <c r="CB728" s="27"/>
    </row>
    <row r="729" spans="1:80" x14ac:dyDescent="0.2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  <c r="BZ729" s="27"/>
      <c r="CA729" s="27"/>
      <c r="CB729" s="27"/>
    </row>
    <row r="730" spans="1:80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  <c r="BY730" s="27"/>
      <c r="BZ730" s="27"/>
      <c r="CA730" s="27"/>
      <c r="CB730" s="27"/>
    </row>
    <row r="731" spans="1:80" x14ac:dyDescent="0.2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  <c r="BY731" s="27"/>
      <c r="BZ731" s="27"/>
      <c r="CA731" s="27"/>
      <c r="CB731" s="27"/>
    </row>
    <row r="732" spans="1:80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  <c r="BX732" s="27"/>
      <c r="BY732" s="27"/>
      <c r="BZ732" s="27"/>
      <c r="CA732" s="27"/>
      <c r="CB732" s="27"/>
    </row>
    <row r="733" spans="1:80" x14ac:dyDescent="0.2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  <c r="BO733" s="27"/>
      <c r="BP733" s="27"/>
      <c r="BQ733" s="27"/>
      <c r="BR733" s="27"/>
      <c r="BS733" s="27"/>
      <c r="BT733" s="27"/>
      <c r="BU733" s="27"/>
      <c r="BV733" s="27"/>
      <c r="BW733" s="27"/>
      <c r="BX733" s="27"/>
      <c r="BY733" s="27"/>
      <c r="BZ733" s="27"/>
      <c r="CA733" s="27"/>
      <c r="CB733" s="27"/>
    </row>
    <row r="734" spans="1:80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  <c r="BX734" s="27"/>
      <c r="BY734" s="27"/>
      <c r="BZ734" s="27"/>
      <c r="CA734" s="27"/>
      <c r="CB734" s="27"/>
    </row>
    <row r="735" spans="1:80" x14ac:dyDescent="0.2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  <c r="BX735" s="27"/>
      <c r="BY735" s="27"/>
      <c r="BZ735" s="27"/>
      <c r="CA735" s="27"/>
      <c r="CB735" s="27"/>
    </row>
    <row r="736" spans="1:80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  <c r="BY736" s="27"/>
      <c r="BZ736" s="27"/>
      <c r="CA736" s="27"/>
      <c r="CB736" s="27"/>
    </row>
    <row r="737" spans="1:80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  <c r="BX737" s="27"/>
      <c r="BY737" s="27"/>
      <c r="BZ737" s="27"/>
      <c r="CA737" s="27"/>
      <c r="CB737" s="27"/>
    </row>
    <row r="738" spans="1:80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  <c r="BY738" s="27"/>
      <c r="BZ738" s="27"/>
      <c r="CA738" s="27"/>
      <c r="CB738" s="27"/>
    </row>
    <row r="739" spans="1:80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  <c r="BY739" s="27"/>
      <c r="BZ739" s="27"/>
      <c r="CA739" s="27"/>
      <c r="CB739" s="27"/>
    </row>
    <row r="740" spans="1:80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  <c r="BY740" s="27"/>
      <c r="BZ740" s="27"/>
      <c r="CA740" s="27"/>
      <c r="CB740" s="27"/>
    </row>
    <row r="741" spans="1:80" x14ac:dyDescent="0.2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  <c r="BY741" s="27"/>
      <c r="BZ741" s="27"/>
      <c r="CA741" s="27"/>
      <c r="CB741" s="27"/>
    </row>
    <row r="742" spans="1:80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  <c r="BY742" s="27"/>
      <c r="BZ742" s="27"/>
      <c r="CA742" s="27"/>
      <c r="CB742" s="27"/>
    </row>
    <row r="743" spans="1:80" x14ac:dyDescent="0.2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</row>
    <row r="744" spans="1:80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  <c r="BY744" s="27"/>
      <c r="BZ744" s="27"/>
      <c r="CA744" s="27"/>
      <c r="CB744" s="27"/>
    </row>
    <row r="745" spans="1:80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  <c r="BY745" s="27"/>
      <c r="BZ745" s="27"/>
      <c r="CA745" s="27"/>
      <c r="CB745" s="27"/>
    </row>
    <row r="746" spans="1:80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  <c r="BY746" s="27"/>
      <c r="BZ746" s="27"/>
      <c r="CA746" s="27"/>
      <c r="CB746" s="27"/>
    </row>
    <row r="747" spans="1:80" x14ac:dyDescent="0.2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  <c r="BY747" s="27"/>
      <c r="BZ747" s="27"/>
      <c r="CA747" s="27"/>
      <c r="CB747" s="27"/>
    </row>
    <row r="748" spans="1:80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  <c r="BY748" s="27"/>
      <c r="BZ748" s="27"/>
      <c r="CA748" s="27"/>
      <c r="CB748" s="27"/>
    </row>
    <row r="749" spans="1:80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  <c r="BX749" s="27"/>
      <c r="BY749" s="27"/>
      <c r="BZ749" s="27"/>
      <c r="CA749" s="27"/>
      <c r="CB749" s="27"/>
    </row>
    <row r="750" spans="1:80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  <c r="BY750" s="27"/>
      <c r="BZ750" s="27"/>
      <c r="CA750" s="27"/>
      <c r="CB750" s="27"/>
    </row>
    <row r="751" spans="1:80" x14ac:dyDescent="0.2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  <c r="BX751" s="27"/>
      <c r="BY751" s="27"/>
      <c r="BZ751" s="27"/>
      <c r="CA751" s="27"/>
      <c r="CB751" s="27"/>
    </row>
    <row r="752" spans="1:80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  <c r="BY752" s="27"/>
      <c r="BZ752" s="27"/>
      <c r="CA752" s="27"/>
      <c r="CB752" s="27"/>
    </row>
    <row r="753" spans="1:80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  <c r="BY753" s="27"/>
      <c r="BZ753" s="27"/>
      <c r="CA753" s="27"/>
      <c r="CB753" s="27"/>
    </row>
    <row r="754" spans="1:80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  <c r="BX754" s="27"/>
      <c r="BY754" s="27"/>
      <c r="BZ754" s="27"/>
      <c r="CA754" s="27"/>
      <c r="CB754" s="27"/>
    </row>
    <row r="755" spans="1:80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  <c r="BO755" s="27"/>
      <c r="BP755" s="27"/>
      <c r="BQ755" s="27"/>
      <c r="BR755" s="27"/>
      <c r="BS755" s="27"/>
      <c r="BT755" s="27"/>
      <c r="BU755" s="27"/>
      <c r="BV755" s="27"/>
      <c r="BW755" s="27"/>
      <c r="BX755" s="27"/>
      <c r="BY755" s="27"/>
      <c r="BZ755" s="27"/>
      <c r="CA755" s="27"/>
      <c r="CB755" s="27"/>
    </row>
    <row r="756" spans="1:80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  <c r="BY756" s="27"/>
      <c r="BZ756" s="27"/>
      <c r="CA756" s="27"/>
      <c r="CB756" s="27"/>
    </row>
    <row r="757" spans="1:80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  <c r="BY757" s="27"/>
      <c r="BZ757" s="27"/>
      <c r="CA757" s="27"/>
      <c r="CB757" s="27"/>
    </row>
    <row r="758" spans="1:80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  <c r="BY758" s="27"/>
      <c r="BZ758" s="27"/>
      <c r="CA758" s="27"/>
      <c r="CB758" s="27"/>
    </row>
    <row r="759" spans="1:80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  <c r="BY759" s="27"/>
      <c r="BZ759" s="27"/>
      <c r="CA759" s="27"/>
      <c r="CB759" s="27"/>
    </row>
    <row r="760" spans="1:80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  <c r="BY760" s="27"/>
      <c r="BZ760" s="27"/>
      <c r="CA760" s="27"/>
      <c r="CB760" s="27"/>
    </row>
    <row r="761" spans="1:80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  <c r="BY761" s="27"/>
      <c r="BZ761" s="27"/>
      <c r="CA761" s="27"/>
      <c r="CB761" s="27"/>
    </row>
    <row r="762" spans="1:80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  <c r="BX762" s="27"/>
      <c r="BY762" s="27"/>
      <c r="BZ762" s="27"/>
      <c r="CA762" s="27"/>
      <c r="CB762" s="27"/>
    </row>
    <row r="763" spans="1:80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</row>
  </sheetData>
  <sheetProtection algorithmName="SHA-512" hashValue="ukOmc4M4Ciq7wkI+syDRkdAY4VYMdvHfwzv1vghgORgDs6EWdusJsO4aFhKZbUbiOmNH8NTq3x0G6AXTkiXGIw==" saltValue="pLEBANtlQeC0c081YmosNQ==" spinCount="100000" sheet="1" objects="1" scenarios="1"/>
  <mergeCells count="7">
    <mergeCell ref="A26:F27"/>
    <mergeCell ref="B1:F2"/>
    <mergeCell ref="A3:F4"/>
    <mergeCell ref="B5:D5"/>
    <mergeCell ref="B7:B8"/>
    <mergeCell ref="C7:C8"/>
    <mergeCell ref="B20:D20"/>
  </mergeCells>
  <dataValidations count="2">
    <dataValidation type="list" allowBlank="1" showInputMessage="1" showErrorMessage="1" sqref="C21" xr:uid="{D9DC8B4C-B326-4C03-A38C-3A42BEB2DDAF}">
      <formula1>$V$27:$V$39</formula1>
    </dataValidation>
    <dataValidation type="list" allowBlank="1" showInputMessage="1" showErrorMessage="1" sqref="C6" xr:uid="{D3FD7082-BC8D-474C-8AD7-874CAB5D18D6}">
      <formula1>$V$5:$V$11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4C51D-E6BC-4566-875A-3544503463FE}">
  <dimension ref="A1:BE134"/>
  <sheetViews>
    <sheetView showGridLines="0" workbookViewId="0">
      <selection activeCell="C11" sqref="C11"/>
    </sheetView>
  </sheetViews>
  <sheetFormatPr defaultRowHeight="15" x14ac:dyDescent="0.25"/>
  <cols>
    <col min="1" max="1" width="20.7109375" customWidth="1"/>
    <col min="2" max="3" width="35.7109375" customWidth="1"/>
    <col min="4" max="4" width="10.7109375" customWidth="1"/>
    <col min="10" max="10" width="9.140625" customWidth="1"/>
    <col min="11" max="11" width="9.85546875" customWidth="1"/>
    <col min="12" max="15" width="9.140625" hidden="1" customWidth="1"/>
    <col min="16" max="16" width="30.7109375" hidden="1" customWidth="1"/>
    <col min="17" max="27" width="9.140625" hidden="1" customWidth="1"/>
  </cols>
  <sheetData>
    <row r="1" spans="1:57" ht="20.100000000000001" customHeight="1" x14ac:dyDescent="0.25">
      <c r="A1" s="3"/>
      <c r="B1" s="31" t="s">
        <v>62</v>
      </c>
      <c r="C1" s="32"/>
      <c r="D1" s="32"/>
      <c r="E1" s="32"/>
      <c r="F1" s="3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 ht="24.95" customHeight="1" x14ac:dyDescent="0.25">
      <c r="A2" s="3"/>
      <c r="B2" s="32"/>
      <c r="C2" s="32"/>
      <c r="D2" s="32"/>
      <c r="E2" s="32"/>
      <c r="F2" s="3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7" ht="20.100000000000001" customHeight="1" x14ac:dyDescent="0.25">
      <c r="A3" s="33" t="s">
        <v>44</v>
      </c>
      <c r="B3" s="33"/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"/>
      <c r="P3" s="3"/>
      <c r="Q3" s="3">
        <v>0.56000000000000005</v>
      </c>
      <c r="R3" s="3">
        <v>1.1100000000000001</v>
      </c>
      <c r="S3" s="3"/>
      <c r="T3" s="3"/>
      <c r="U3" s="3"/>
      <c r="V3" s="3"/>
      <c r="W3" s="3"/>
      <c r="X3" s="3"/>
      <c r="Y3" s="3"/>
      <c r="Z3" s="3"/>
      <c r="AA3" s="3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ht="20.100000000000001" customHeight="1" x14ac:dyDescent="0.25">
      <c r="A4" s="33"/>
      <c r="B4" s="33"/>
      <c r="C4" s="33"/>
      <c r="D4" s="33"/>
      <c r="E4" s="33"/>
      <c r="F4" s="3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57" ht="20.100000000000001" customHeight="1" x14ac:dyDescent="0.25">
      <c r="A5" s="5"/>
      <c r="B5" s="5"/>
      <c r="C5" s="5"/>
      <c r="D5" s="5"/>
      <c r="E5" s="5"/>
      <c r="F5" s="5"/>
      <c r="G5" s="3"/>
      <c r="H5" s="3"/>
      <c r="I5" s="3"/>
      <c r="J5" s="3"/>
      <c r="K5" s="3"/>
      <c r="L5" s="3"/>
      <c r="M5" s="3"/>
      <c r="N5" s="3"/>
      <c r="O5" s="3"/>
      <c r="P5" s="6" t="s">
        <v>0</v>
      </c>
      <c r="Q5" s="6">
        <v>1.2E-2</v>
      </c>
      <c r="R5" s="3"/>
      <c r="S5" s="3"/>
      <c r="T5" s="3"/>
      <c r="U5" s="3"/>
      <c r="V5" s="3"/>
      <c r="W5" s="3"/>
      <c r="X5" s="3"/>
      <c r="Y5" s="3"/>
      <c r="Z5" s="3"/>
      <c r="AA5" s="3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f>(Q3/C9)*(C12^1.67)*(C13^0.5)*(C11^2.67)</f>
        <v>0.37414336566289064</v>
      </c>
      <c r="O6" s="3"/>
      <c r="P6" s="6" t="s">
        <v>1</v>
      </c>
      <c r="Q6" s="6">
        <v>1.2999999999999999E-2</v>
      </c>
      <c r="R6" s="3"/>
      <c r="S6" s="3"/>
      <c r="T6" s="3"/>
      <c r="U6" s="3"/>
      <c r="V6" s="3"/>
      <c r="W6" s="3"/>
      <c r="X6" s="3"/>
      <c r="Y6" s="3"/>
      <c r="Z6" s="3"/>
      <c r="AA6" s="3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1:57" ht="15.75" thickBot="1" x14ac:dyDescent="0.3">
      <c r="A7" s="3"/>
      <c r="B7" s="34" t="s">
        <v>2</v>
      </c>
      <c r="C7" s="34"/>
      <c r="D7" s="34"/>
      <c r="E7" s="3"/>
      <c r="F7" s="3"/>
      <c r="G7" s="3"/>
      <c r="H7" s="3"/>
      <c r="I7" s="3"/>
      <c r="J7" s="3"/>
      <c r="K7" s="3"/>
      <c r="L7" s="3"/>
      <c r="M7" s="3"/>
      <c r="N7" s="3">
        <f>(R3/C9)*(C13^0.5)*(C12^0.67)*(C11^0.67)</f>
        <v>1.4832111995921735</v>
      </c>
      <c r="O7" s="3"/>
      <c r="P7" s="6" t="s">
        <v>3</v>
      </c>
      <c r="Q7" s="6">
        <v>1.6E-2</v>
      </c>
      <c r="R7" s="3"/>
      <c r="S7" s="3"/>
      <c r="T7" s="3"/>
      <c r="U7" s="3"/>
      <c r="V7" s="3"/>
      <c r="W7" s="3"/>
      <c r="X7" s="3"/>
      <c r="Y7" s="3"/>
      <c r="Z7" s="3"/>
      <c r="AA7" s="3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</row>
    <row r="8" spans="1:57" x14ac:dyDescent="0.25">
      <c r="A8" s="3"/>
      <c r="B8" s="7" t="s">
        <v>4</v>
      </c>
      <c r="C8" s="23" t="s">
        <v>3</v>
      </c>
      <c r="D8" s="8" t="s">
        <v>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6</v>
      </c>
      <c r="Q8" s="6">
        <v>1.2999999999999999E-2</v>
      </c>
      <c r="R8" s="3"/>
      <c r="S8" s="3"/>
      <c r="T8" s="3"/>
      <c r="U8" s="3"/>
      <c r="V8" s="3"/>
      <c r="W8" s="3"/>
      <c r="X8" s="3"/>
      <c r="Y8" s="3"/>
      <c r="Z8" s="3"/>
      <c r="AA8" s="3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x14ac:dyDescent="0.25">
      <c r="A9" s="3"/>
      <c r="B9" s="35" t="s">
        <v>7</v>
      </c>
      <c r="C9" s="36">
        <f>VLOOKUP(C8,P5:Q11,2,FALSE)</f>
        <v>1.6E-2</v>
      </c>
      <c r="D9" s="9"/>
      <c r="E9" s="3"/>
      <c r="F9" s="3"/>
      <c r="G9" s="3"/>
      <c r="H9" s="3"/>
      <c r="I9" s="3"/>
      <c r="J9" s="3"/>
      <c r="K9" s="3"/>
      <c r="L9" s="3"/>
      <c r="M9" s="3"/>
      <c r="N9" s="3">
        <f>C14/12</f>
        <v>0.10000000000000002</v>
      </c>
      <c r="O9" s="3"/>
      <c r="P9" s="6" t="s">
        <v>8</v>
      </c>
      <c r="Q9" s="6">
        <v>1.4999999999999999E-2</v>
      </c>
      <c r="R9" s="3"/>
      <c r="S9" s="3"/>
      <c r="T9" s="3"/>
      <c r="U9" s="3"/>
      <c r="V9" s="3"/>
      <c r="W9" s="3"/>
      <c r="X9" s="3"/>
      <c r="Y9" s="3"/>
      <c r="Z9" s="3"/>
      <c r="AA9" s="3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</row>
    <row r="10" spans="1:57" x14ac:dyDescent="0.25">
      <c r="A10" s="3"/>
      <c r="B10" s="35"/>
      <c r="C10" s="36"/>
      <c r="D10" s="9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" t="s">
        <v>9</v>
      </c>
      <c r="Q10" s="6">
        <v>1.4E-2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</row>
    <row r="11" spans="1:57" x14ac:dyDescent="0.25">
      <c r="A11" s="3"/>
      <c r="B11" s="10" t="s">
        <v>10</v>
      </c>
      <c r="C11" s="21">
        <v>5</v>
      </c>
      <c r="D11" s="9" t="s">
        <v>11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" t="s">
        <v>12</v>
      </c>
      <c r="Q11" s="6">
        <v>1.6E-2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</row>
    <row r="12" spans="1:57" ht="18" x14ac:dyDescent="0.25">
      <c r="A12" s="3"/>
      <c r="B12" s="10" t="s">
        <v>13</v>
      </c>
      <c r="C12" s="22">
        <v>0.02</v>
      </c>
      <c r="D12" s="9" t="s">
        <v>11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</row>
    <row r="13" spans="1:57" ht="18" x14ac:dyDescent="0.25">
      <c r="A13" s="3"/>
      <c r="B13" s="10" t="s">
        <v>14</v>
      </c>
      <c r="C13" s="22">
        <v>0.01</v>
      </c>
      <c r="D13" s="9" t="s">
        <v>11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</row>
    <row r="14" spans="1:57" x14ac:dyDescent="0.25">
      <c r="A14" s="3"/>
      <c r="B14" s="10" t="s">
        <v>15</v>
      </c>
      <c r="C14" s="11">
        <f>(C11*C12)*12</f>
        <v>1.2000000000000002</v>
      </c>
      <c r="D14" s="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spans="1:57" x14ac:dyDescent="0.25">
      <c r="A15" s="3"/>
      <c r="B15" s="10" t="s">
        <v>16</v>
      </c>
      <c r="C15" s="11">
        <f>N6</f>
        <v>0.37414336566289064</v>
      </c>
      <c r="D15" s="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2"/>
      <c r="Q15" s="13">
        <v>0.01</v>
      </c>
      <c r="R15" s="1">
        <v>0.02</v>
      </c>
      <c r="S15" s="1">
        <v>0.04</v>
      </c>
      <c r="T15" s="13">
        <v>0.06</v>
      </c>
      <c r="U15" s="3"/>
      <c r="V15" s="3"/>
      <c r="W15" s="3"/>
      <c r="X15" s="3"/>
      <c r="Y15" s="6"/>
      <c r="Z15" s="3"/>
      <c r="AA15" s="3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spans="1:57" x14ac:dyDescent="0.25">
      <c r="A16" s="3"/>
      <c r="B16" s="10" t="s">
        <v>41</v>
      </c>
      <c r="C16" s="14">
        <f>C15*448.8325660485</f>
        <v>167.92772688049743</v>
      </c>
      <c r="D16" s="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 t="s">
        <v>18</v>
      </c>
      <c r="Q16" s="1">
        <v>18.600000000000001</v>
      </c>
      <c r="R16" s="1">
        <v>21.65</v>
      </c>
      <c r="S16" s="1">
        <v>22.09</v>
      </c>
      <c r="T16" s="1">
        <v>22.98</v>
      </c>
      <c r="U16" s="3"/>
      <c r="V16" s="3"/>
      <c r="W16" s="3"/>
      <c r="X16" s="3"/>
      <c r="Y16" s="2"/>
      <c r="Z16" s="3"/>
      <c r="AA16" s="3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spans="1:57" ht="15.75" thickBot="1" x14ac:dyDescent="0.3">
      <c r="A17" s="3"/>
      <c r="B17" s="15" t="s">
        <v>17</v>
      </c>
      <c r="C17" s="16">
        <f>N7</f>
        <v>1.4832111995921735</v>
      </c>
      <c r="D17" s="1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" t="s">
        <v>19</v>
      </c>
      <c r="Q17" s="1">
        <v>22.98</v>
      </c>
      <c r="R17" s="1">
        <v>25.85</v>
      </c>
      <c r="S17" s="1">
        <v>32.44</v>
      </c>
      <c r="T17" s="1">
        <v>32.29</v>
      </c>
      <c r="U17" s="3"/>
      <c r="V17" s="3"/>
      <c r="W17" s="3"/>
      <c r="X17" s="3"/>
      <c r="Y17" s="2"/>
      <c r="Z17" s="3"/>
      <c r="AA17" s="3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x14ac:dyDescent="0.25">
      <c r="A18" s="3"/>
      <c r="B18" s="6"/>
      <c r="C18" s="1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" t="s">
        <v>20</v>
      </c>
      <c r="Q18" s="1">
        <v>14.84</v>
      </c>
      <c r="R18" s="1">
        <v>16.760000000000002</v>
      </c>
      <c r="S18" s="1">
        <v>16.559999999999999</v>
      </c>
      <c r="T18" s="1">
        <v>18.05</v>
      </c>
      <c r="U18" s="3"/>
      <c r="V18" s="3"/>
      <c r="W18" s="3"/>
      <c r="X18" s="3"/>
      <c r="Y18" s="2"/>
      <c r="Z18" s="3"/>
      <c r="AA18" s="3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15.75" thickBot="1" x14ac:dyDescent="0.3">
      <c r="A19" s="3"/>
      <c r="B19" s="37" t="s">
        <v>21</v>
      </c>
      <c r="C19" s="37"/>
      <c r="D19" s="3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1" t="s">
        <v>22</v>
      </c>
      <c r="Q19" s="1">
        <v>15.33</v>
      </c>
      <c r="R19" s="1">
        <v>19.43</v>
      </c>
      <c r="S19" s="1">
        <v>18.989999999999998</v>
      </c>
      <c r="T19" s="1">
        <v>21.36</v>
      </c>
      <c r="U19" s="3"/>
      <c r="V19" s="3"/>
      <c r="W19" s="3"/>
      <c r="X19" s="3"/>
      <c r="Y19" s="2"/>
      <c r="Z19" s="3"/>
      <c r="AA19" s="3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x14ac:dyDescent="0.25">
      <c r="A20" s="3"/>
      <c r="B20" s="7" t="s">
        <v>23</v>
      </c>
      <c r="C20" s="23" t="s">
        <v>49</v>
      </c>
      <c r="D20" s="8" t="s">
        <v>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" t="s">
        <v>24</v>
      </c>
      <c r="Q20" s="1">
        <v>16.239999999999998</v>
      </c>
      <c r="R20" s="1">
        <v>23.71</v>
      </c>
      <c r="S20" s="1">
        <v>30.8</v>
      </c>
      <c r="T20" s="1">
        <v>29.7</v>
      </c>
      <c r="U20" s="3"/>
      <c r="V20" s="3"/>
      <c r="W20" s="3"/>
      <c r="X20" s="3"/>
      <c r="Y20" s="2"/>
      <c r="Z20" s="3"/>
      <c r="AA20" s="3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x14ac:dyDescent="0.25">
      <c r="A21" s="3"/>
      <c r="B21" s="10" t="s">
        <v>39</v>
      </c>
      <c r="C21" s="19">
        <f>VLOOKUP(C20,P27:Z39,11,FALSE)</f>
        <v>0.36592103798564013</v>
      </c>
      <c r="D21" s="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 t="s">
        <v>25</v>
      </c>
      <c r="Q21" s="1">
        <v>20.36</v>
      </c>
      <c r="R21" s="1">
        <v>25.26</v>
      </c>
      <c r="S21" s="1">
        <v>28.99</v>
      </c>
      <c r="T21" s="1">
        <v>28.18</v>
      </c>
      <c r="U21" s="3"/>
      <c r="V21" s="3"/>
      <c r="W21" s="3"/>
      <c r="X21" s="3"/>
      <c r="Y21" s="2"/>
      <c r="Z21" s="3"/>
      <c r="AA21" s="3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x14ac:dyDescent="0.25">
      <c r="A22" s="3"/>
      <c r="B22" s="10" t="s">
        <v>42</v>
      </c>
      <c r="C22" s="14">
        <f>C21*448.8325660485</f>
        <v>164.23727845022549</v>
      </c>
      <c r="D22" s="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"/>
      <c r="Q22" s="1"/>
      <c r="R22" s="1"/>
      <c r="S22" s="13"/>
      <c r="T22" s="1"/>
      <c r="U22" s="3"/>
      <c r="V22" s="3"/>
      <c r="W22" s="3"/>
      <c r="X22" s="3"/>
      <c r="Y22" s="2"/>
      <c r="Z22" s="3"/>
      <c r="AA22" s="3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x14ac:dyDescent="0.25">
      <c r="A23" s="3"/>
      <c r="B23" s="10" t="s">
        <v>40</v>
      </c>
      <c r="C23" s="19">
        <f>C15-C21</f>
        <v>8.2223276772505072E-3</v>
      </c>
      <c r="D23" s="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  <c r="R23" s="1"/>
      <c r="S23" s="3"/>
      <c r="T23" s="1"/>
      <c r="U23" s="3"/>
      <c r="V23" s="3"/>
      <c r="W23" s="3"/>
      <c r="X23" s="3"/>
      <c r="Y23" s="2"/>
      <c r="Z23" s="3"/>
      <c r="AA23" s="3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x14ac:dyDescent="0.25">
      <c r="A24" s="3"/>
      <c r="B24" s="10" t="s">
        <v>43</v>
      </c>
      <c r="C24" s="19">
        <f>C16-C22</f>
        <v>3.6904484302719425</v>
      </c>
      <c r="D24" s="2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2"/>
      <c r="Z24" s="3"/>
      <c r="AA24" s="3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x14ac:dyDescent="0.25">
      <c r="A25" s="3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6"/>
      <c r="Z25" s="3"/>
      <c r="AA25" s="3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ht="18" customHeight="1" x14ac:dyDescent="0.35">
      <c r="A26" s="30" t="s">
        <v>38</v>
      </c>
      <c r="B26" s="30"/>
      <c r="C26" s="30"/>
      <c r="D26" s="30"/>
      <c r="E26" s="30"/>
      <c r="F26" s="30"/>
      <c r="G26" s="3"/>
      <c r="H26" s="3"/>
      <c r="I26" s="3"/>
      <c r="J26" s="3"/>
      <c r="K26" s="3"/>
      <c r="L26" s="3"/>
      <c r="M26" s="3"/>
      <c r="N26" s="3"/>
      <c r="O26" s="3"/>
      <c r="P26" s="3"/>
      <c r="Q26" s="3" t="s">
        <v>26</v>
      </c>
      <c r="R26" s="3" t="s">
        <v>27</v>
      </c>
      <c r="S26" s="3" t="s">
        <v>28</v>
      </c>
      <c r="T26" s="3" t="s">
        <v>29</v>
      </c>
      <c r="U26" s="3" t="s">
        <v>30</v>
      </c>
      <c r="V26" s="3" t="s">
        <v>31</v>
      </c>
      <c r="W26" s="3" t="s">
        <v>32</v>
      </c>
      <c r="X26" s="3" t="s">
        <v>33</v>
      </c>
      <c r="Y26" s="2" t="s">
        <v>34</v>
      </c>
      <c r="Z26" s="3" t="s">
        <v>35</v>
      </c>
      <c r="AA26" s="3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x14ac:dyDescent="0.25">
      <c r="A27" s="30"/>
      <c r="B27" s="30"/>
      <c r="C27" s="30"/>
      <c r="D27" s="30"/>
      <c r="E27" s="30"/>
      <c r="F27" s="30"/>
      <c r="G27" s="3"/>
      <c r="H27" s="3"/>
      <c r="I27" s="3"/>
      <c r="J27" s="3"/>
      <c r="K27" s="3"/>
      <c r="L27" s="3"/>
      <c r="M27" s="3"/>
      <c r="N27" s="3"/>
      <c r="O27" s="3"/>
      <c r="P27" s="1" t="s">
        <v>18</v>
      </c>
      <c r="Q27" s="3">
        <f>22.75/12</f>
        <v>1.8958333333333333</v>
      </c>
      <c r="R27" s="3">
        <f>22.75/12</f>
        <v>1.8958333333333333</v>
      </c>
      <c r="S27" s="3">
        <f>IF($C$11&lt;R27,1,S43)</f>
        <v>0.71994500613816581</v>
      </c>
      <c r="T27" s="3">
        <f>1-S27</f>
        <v>0.28005499386183419</v>
      </c>
      <c r="U27" s="3">
        <f>0.735+(2.437*Q27)-(0.265*(Q27^2))+(0.018*(Q27^3))</f>
        <v>4.5253385959201387</v>
      </c>
      <c r="V27" s="3">
        <f>1-(0.09*($C$17-U27))</f>
        <v>1.2737914656695168</v>
      </c>
      <c r="W27" s="3">
        <f t="shared" ref="W27:W39" si="0">IF(U27&gt;$C$17,1,V27)</f>
        <v>1</v>
      </c>
      <c r="X27" s="3">
        <f t="shared" ref="X27:X39" si="1">1/(1+((0.15*($C$17^1.8))/($C$12*(Q27^2.3))))</f>
        <v>0.22213537345208981</v>
      </c>
      <c r="Y27" s="2">
        <f>(W27*S27)+(X27*T27)</f>
        <v>0.78215512678678711</v>
      </c>
      <c r="Z27" s="3">
        <f>Y27*$C$15</f>
        <v>0.29263815160649348</v>
      </c>
      <c r="AA27" s="3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x14ac:dyDescent="0.25">
      <c r="A28" s="30"/>
      <c r="B28" s="30"/>
      <c r="C28" s="30"/>
      <c r="D28" s="30"/>
      <c r="E28" s="30"/>
      <c r="F28" s="30"/>
      <c r="G28" s="3"/>
      <c r="H28" s="3"/>
      <c r="I28" s="3"/>
      <c r="J28" s="3"/>
      <c r="K28" s="3"/>
      <c r="L28" s="3"/>
      <c r="M28" s="3"/>
      <c r="N28" s="3"/>
      <c r="O28" s="3"/>
      <c r="P28" s="1" t="s">
        <v>19</v>
      </c>
      <c r="Q28" s="3">
        <f>34.75/12</f>
        <v>2.8958333333333335</v>
      </c>
      <c r="R28" s="3">
        <f>22.75/12</f>
        <v>1.8958333333333333</v>
      </c>
      <c r="S28" s="3">
        <f t="shared" ref="S28:S34" si="2">IF($C$11&lt;R28,1,S44)</f>
        <v>0.71994500613816581</v>
      </c>
      <c r="T28" s="3">
        <f t="shared" ref="T28:T39" si="3">1-S28</f>
        <v>0.28005499386183419</v>
      </c>
      <c r="U28" s="3">
        <f>0.735+(2.437*Q28)-(0.265*(Q28^2))+(0.018*(Q28^3))</f>
        <v>6.0070078667534723</v>
      </c>
      <c r="V28" s="3">
        <f t="shared" ref="V28:V39" si="4">1-(0.09*($C$17-U28))</f>
        <v>1.4071417000445168</v>
      </c>
      <c r="W28" s="3">
        <f t="shared" si="0"/>
        <v>1</v>
      </c>
      <c r="X28" s="3">
        <f t="shared" si="1"/>
        <v>0.43071064265519748</v>
      </c>
      <c r="Y28" s="2">
        <f t="shared" ref="Y28:Y39" si="5">(W28*S28)+(X28*T28)</f>
        <v>0.84056767252319375</v>
      </c>
      <c r="Z28" s="3">
        <f t="shared" ref="Z28:Z39" si="6">Y28*$C$15</f>
        <v>0.3144928180652502</v>
      </c>
      <c r="AA28" s="3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x14ac:dyDescent="0.25">
      <c r="A29" s="3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" t="s">
        <v>45</v>
      </c>
      <c r="Q29" s="3">
        <f>37.5/12</f>
        <v>3.125</v>
      </c>
      <c r="R29" s="3">
        <f>37.5/12</f>
        <v>3.125</v>
      </c>
      <c r="S29" s="3">
        <f t="shared" si="2"/>
        <v>0.92711074944772265</v>
      </c>
      <c r="T29" s="3">
        <f>1-S29</f>
        <v>7.2889250552277352E-2</v>
      </c>
      <c r="U29" s="3">
        <f>0.735+(2.437*Q29)-(0.265*(Q29^2))+(0.018*(Q29^3))</f>
        <v>6.3120507812499991</v>
      </c>
      <c r="V29" s="3">
        <f t="shared" ref="V29" si="7">1-(0.09*($C$17-U29))</f>
        <v>1.4345955623492044</v>
      </c>
      <c r="W29" s="3">
        <f t="shared" ref="W29" si="8">IF(U29&gt;$C$17,1,V29)</f>
        <v>1</v>
      </c>
      <c r="X29" s="3">
        <f t="shared" ref="X29" si="9">1/(1+((0.15*($C$17^1.8))/($C$12*(Q29^2.3))))</f>
        <v>0.47407795967381527</v>
      </c>
      <c r="Y29" s="2">
        <f t="shared" ref="Y29" si="10">(W29*S29)+(X29*T29)</f>
        <v>0.96166593663169986</v>
      </c>
      <c r="Z29" s="3">
        <f t="shared" ref="Z29" si="11">Y29*$C$15</f>
        <v>0.3598009301747403</v>
      </c>
      <c r="AA29" s="3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3"/>
      <c r="M30" s="3"/>
      <c r="N30" s="3"/>
      <c r="O30" s="3"/>
      <c r="P30" s="1" t="s">
        <v>20</v>
      </c>
      <c r="Q30" s="3">
        <f>22.88/12</f>
        <v>1.9066666666666665</v>
      </c>
      <c r="R30" s="3">
        <f>18.5/12</f>
        <v>1.5416666666666667</v>
      </c>
      <c r="S30" s="3">
        <f t="shared" si="2"/>
        <v>0.62629872490369598</v>
      </c>
      <c r="T30" s="3">
        <f t="shared" si="3"/>
        <v>0.37370127509630402</v>
      </c>
      <c r="U30" s="3">
        <f>0.735+(2.437*Q30)-(0.265*(Q30^2))+(0.018*(Q30^3))</f>
        <v>4.5429377208888875</v>
      </c>
      <c r="V30" s="3">
        <f t="shared" si="4"/>
        <v>1.2753753869167042</v>
      </c>
      <c r="W30" s="3">
        <f t="shared" si="0"/>
        <v>1</v>
      </c>
      <c r="X30" s="3">
        <f t="shared" si="1"/>
        <v>0.22440812406661145</v>
      </c>
      <c r="Y30" s="2">
        <f t="shared" si="5"/>
        <v>0.71016032700935827</v>
      </c>
      <c r="Z30" s="3">
        <f t="shared" si="6"/>
        <v>0.26570177490754032</v>
      </c>
      <c r="AA30" s="3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3"/>
      <c r="N31" s="3"/>
      <c r="O31" s="3"/>
      <c r="P31" s="1" t="s">
        <v>22</v>
      </c>
      <c r="Q31" s="3">
        <f>22.88/12</f>
        <v>1.9066666666666665</v>
      </c>
      <c r="R31" s="3">
        <f>18.5/12</f>
        <v>1.5416666666666667</v>
      </c>
      <c r="S31" s="3">
        <f t="shared" si="2"/>
        <v>0.62629872490369598</v>
      </c>
      <c r="T31" s="3">
        <f t="shared" si="3"/>
        <v>0.37370127509630402</v>
      </c>
      <c r="U31" s="3">
        <f t="shared" ref="U31:U32" si="12">0.735+(2.437*Q31)-(0.265*(Q31^2))+(0.018*(Q31^3))</f>
        <v>4.5429377208888875</v>
      </c>
      <c r="V31" s="3">
        <f t="shared" si="4"/>
        <v>1.2753753869167042</v>
      </c>
      <c r="W31" s="3">
        <f t="shared" si="0"/>
        <v>1</v>
      </c>
      <c r="X31" s="3">
        <f t="shared" si="1"/>
        <v>0.22440812406661145</v>
      </c>
      <c r="Y31" s="2">
        <f t="shared" si="5"/>
        <v>0.71016032700935827</v>
      </c>
      <c r="Z31" s="3">
        <f t="shared" si="6"/>
        <v>0.26570177490754032</v>
      </c>
      <c r="AA31" s="3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3"/>
      <c r="N32" s="3"/>
      <c r="O32" s="3"/>
      <c r="P32" s="1" t="s">
        <v>24</v>
      </c>
      <c r="Q32" s="3">
        <f>34.75/12</f>
        <v>2.8958333333333335</v>
      </c>
      <c r="R32" s="3">
        <f>18.5/12</f>
        <v>1.5416666666666667</v>
      </c>
      <c r="S32" s="3">
        <f t="shared" si="2"/>
        <v>0.62629872490369598</v>
      </c>
      <c r="T32" s="3">
        <f t="shared" si="3"/>
        <v>0.37370127509630402</v>
      </c>
      <c r="U32" s="3">
        <f t="shared" si="12"/>
        <v>6.0070078667534723</v>
      </c>
      <c r="V32" s="3">
        <f t="shared" si="4"/>
        <v>1.4071417000445168</v>
      </c>
      <c r="W32" s="3">
        <f t="shared" si="0"/>
        <v>1</v>
      </c>
      <c r="X32" s="3">
        <f t="shared" si="1"/>
        <v>0.43071064265519748</v>
      </c>
      <c r="Y32" s="2">
        <f t="shared" si="5"/>
        <v>0.78725584126149184</v>
      </c>
      <c r="Z32" s="3">
        <f t="shared" si="6"/>
        <v>0.29454655008734493</v>
      </c>
      <c r="AA32" s="3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3"/>
      <c r="N33" s="3"/>
      <c r="O33" s="3"/>
      <c r="P33" s="1" t="s">
        <v>25</v>
      </c>
      <c r="Q33" s="3">
        <f>34.75/12</f>
        <v>2.8958333333333335</v>
      </c>
      <c r="R33" s="3">
        <f>18.5/12</f>
        <v>1.5416666666666667</v>
      </c>
      <c r="S33" s="3">
        <f t="shared" si="2"/>
        <v>0.62629872490369598</v>
      </c>
      <c r="T33" s="3">
        <f t="shared" si="3"/>
        <v>0.37370127509630402</v>
      </c>
      <c r="U33" s="3">
        <f>0.988+(2.625*Q33)-(0.359*(Q33^2))+(0.029*(Q33^3))</f>
        <v>6.2832788538049762</v>
      </c>
      <c r="V33" s="3">
        <f t="shared" si="4"/>
        <v>1.4320060888791522</v>
      </c>
      <c r="W33" s="3">
        <f t="shared" si="0"/>
        <v>1</v>
      </c>
      <c r="X33" s="3">
        <f t="shared" si="1"/>
        <v>0.43071064265519748</v>
      </c>
      <c r="Y33" s="2">
        <f t="shared" si="5"/>
        <v>0.78725584126149184</v>
      </c>
      <c r="Z33" s="3">
        <f t="shared" si="6"/>
        <v>0.29454655008734493</v>
      </c>
      <c r="AA33" s="3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3"/>
      <c r="N34" s="3"/>
      <c r="O34" s="3"/>
      <c r="P34" s="1" t="s">
        <v>36</v>
      </c>
      <c r="Q34" s="3">
        <f>30.75/12</f>
        <v>2.5625</v>
      </c>
      <c r="R34" s="3">
        <f>30.75/12</f>
        <v>2.5625</v>
      </c>
      <c r="S34" s="3">
        <f t="shared" si="2"/>
        <v>0.85314381720224886</v>
      </c>
      <c r="T34" s="3">
        <f t="shared" si="3"/>
        <v>0.14685618279775114</v>
      </c>
      <c r="U34" s="3">
        <f>0.735+(2.437*Q34)-(0.265*(Q34^2))+(0.018*(Q34^3))</f>
        <v>5.5425903320312493</v>
      </c>
      <c r="V34" s="3">
        <f t="shared" si="4"/>
        <v>1.3653441219195168</v>
      </c>
      <c r="W34" s="3">
        <f t="shared" si="0"/>
        <v>1</v>
      </c>
      <c r="X34" s="3">
        <f t="shared" si="1"/>
        <v>0.36349693497752955</v>
      </c>
      <c r="Y34" s="2">
        <f t="shared" si="5"/>
        <v>0.90652558953173124</v>
      </c>
      <c r="Z34" s="3">
        <f t="shared" si="6"/>
        <v>0.33917053512693801</v>
      </c>
      <c r="AA34" s="3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3"/>
      <c r="N35" s="3"/>
      <c r="O35" s="3"/>
      <c r="P35" s="1" t="s">
        <v>37</v>
      </c>
      <c r="Q35" s="3">
        <f>41.75/12</f>
        <v>3.4791666666666665</v>
      </c>
      <c r="R35" s="3">
        <f>30.75/12</f>
        <v>2.5625</v>
      </c>
      <c r="S35" s="3">
        <f>IF($C$11&lt;R35,1,S51)</f>
        <v>0.85314381720224886</v>
      </c>
      <c r="T35" s="3">
        <f t="shared" si="3"/>
        <v>0.14685618279775114</v>
      </c>
      <c r="U35" s="3">
        <f>0.735+(2.437*Q35)-(0.265*(Q35^2))+(0.018*(Q35^3))</f>
        <v>6.7640606011284712</v>
      </c>
      <c r="V35" s="3">
        <f t="shared" si="4"/>
        <v>1.4752764461382668</v>
      </c>
      <c r="W35" s="3">
        <f t="shared" si="0"/>
        <v>1</v>
      </c>
      <c r="X35" s="3">
        <f t="shared" si="1"/>
        <v>0.53572486621606197</v>
      </c>
      <c r="Y35" s="2">
        <f t="shared" si="5"/>
        <v>0.9318183260845756</v>
      </c>
      <c r="Z35" s="3">
        <f t="shared" si="6"/>
        <v>0.34863364470764402</v>
      </c>
      <c r="AA35" s="3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3"/>
      <c r="N36" s="3"/>
      <c r="O36" s="3"/>
      <c r="P36" s="1" t="s">
        <v>46</v>
      </c>
      <c r="Q36" s="3">
        <f>(24.25*2)/12</f>
        <v>4.041666666666667</v>
      </c>
      <c r="R36" s="3">
        <f t="shared" ref="R36:R37" si="13">18.5/12</f>
        <v>1.5416666666666667</v>
      </c>
      <c r="S36" s="3">
        <f t="shared" ref="S36:S39" si="14">IF($C$11&lt;R36,1,S52)</f>
        <v>0.62629872490369598</v>
      </c>
      <c r="T36" s="3">
        <f t="shared" si="3"/>
        <v>0.37370127509630402</v>
      </c>
      <c r="U36" s="3">
        <f t="shared" ref="U36" si="15">0.735+(2.437*Q36)-(0.265*(Q36^2))+(0.018*(Q36^3))</f>
        <v>7.4441245659722215</v>
      </c>
      <c r="V36" s="3">
        <f>1-(0.09*($C$17-U36))</f>
        <v>1.5364822029742042</v>
      </c>
      <c r="W36" s="3">
        <f t="shared" si="0"/>
        <v>1</v>
      </c>
      <c r="X36" s="3">
        <f t="shared" si="1"/>
        <v>0.61959542800013967</v>
      </c>
      <c r="Y36" s="2">
        <f t="shared" si="5"/>
        <v>0.8578423263911884</v>
      </c>
      <c r="Z36" s="3">
        <f t="shared" si="6"/>
        <v>0.32095601520408318</v>
      </c>
      <c r="AA36" s="3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3"/>
      <c r="N37" s="3"/>
      <c r="O37" s="3"/>
      <c r="P37" s="1" t="s">
        <v>47</v>
      </c>
      <c r="Q37" s="3">
        <f>(24.25*2)/12</f>
        <v>4.041666666666667</v>
      </c>
      <c r="R37" s="3">
        <f t="shared" si="13"/>
        <v>1.5416666666666667</v>
      </c>
      <c r="S37" s="3">
        <f t="shared" si="14"/>
        <v>0.62629872490369598</v>
      </c>
      <c r="T37" s="3">
        <f t="shared" si="3"/>
        <v>0.37370127509630402</v>
      </c>
      <c r="U37" s="3">
        <f>0.988+(2.625*Q37)-(0.359*(Q37^2))+(0.029*(Q37^3))</f>
        <v>7.6476913339120358</v>
      </c>
      <c r="V37" s="3">
        <f t="shared" si="4"/>
        <v>1.5548032120887876</v>
      </c>
      <c r="W37" s="3">
        <f t="shared" si="0"/>
        <v>1</v>
      </c>
      <c r="X37" s="3">
        <f t="shared" si="1"/>
        <v>0.61959542800013967</v>
      </c>
      <c r="Y37" s="2">
        <f t="shared" si="5"/>
        <v>0.8578423263911884</v>
      </c>
      <c r="Z37" s="3">
        <f t="shared" si="6"/>
        <v>0.32095601520408318</v>
      </c>
      <c r="AA37" s="3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3"/>
      <c r="M38" s="3"/>
      <c r="N38" s="3"/>
      <c r="O38" s="3"/>
      <c r="P38" s="1" t="s">
        <v>48</v>
      </c>
      <c r="Q38" s="3">
        <f>(30.75*2)/12</f>
        <v>5.125</v>
      </c>
      <c r="R38" s="3">
        <f>30.75/12</f>
        <v>2.5625</v>
      </c>
      <c r="S38" s="3">
        <f t="shared" si="14"/>
        <v>0.85314381720224886</v>
      </c>
      <c r="T38" s="3">
        <f t="shared" si="3"/>
        <v>0.14685618279775114</v>
      </c>
      <c r="U38" s="3">
        <f>0.735+(2.437*Q38)-(0.265*(Q38^2))+(0.018*(Q38^3))</f>
        <v>8.6872382812499964</v>
      </c>
      <c r="V38" s="3">
        <f t="shared" si="4"/>
        <v>1.6483624373492041</v>
      </c>
      <c r="W38" s="3">
        <f>IF(U38&gt;$C$17,1,V38)</f>
        <v>1</v>
      </c>
      <c r="X38" s="3">
        <f t="shared" si="1"/>
        <v>0.73769454249034971</v>
      </c>
      <c r="Y38" s="2">
        <f t="shared" si="5"/>
        <v>0.96147882178311506</v>
      </c>
      <c r="Z38" s="3">
        <f t="shared" si="6"/>
        <v>0.35973092239552529</v>
      </c>
      <c r="AA38" s="3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3"/>
      <c r="M39" s="3"/>
      <c r="N39" s="3"/>
      <c r="O39" s="3"/>
      <c r="P39" s="1" t="s">
        <v>49</v>
      </c>
      <c r="Q39" s="3">
        <f>(41.75*2)/12</f>
        <v>6.958333333333333</v>
      </c>
      <c r="R39" s="3">
        <f>30.75/12</f>
        <v>2.5625</v>
      </c>
      <c r="S39" s="3">
        <f t="shared" si="14"/>
        <v>0.85314381720224886</v>
      </c>
      <c r="T39" s="3">
        <f t="shared" si="3"/>
        <v>0.14685618279775114</v>
      </c>
      <c r="U39" s="3">
        <f>0.735+(2.437*Q39)-(0.265*(Q39^2))+(0.018*(Q39^3))</f>
        <v>10.925986545138887</v>
      </c>
      <c r="V39" s="3">
        <f t="shared" si="4"/>
        <v>1.8498497810992043</v>
      </c>
      <c r="W39" s="3">
        <f t="shared" si="0"/>
        <v>1</v>
      </c>
      <c r="X39" s="3">
        <f t="shared" si="1"/>
        <v>0.85035421245618492</v>
      </c>
      <c r="Y39" s="2">
        <f t="shared" si="5"/>
        <v>0.97802359086955204</v>
      </c>
      <c r="Z39" s="3">
        <f t="shared" si="6"/>
        <v>0.36592103798564013</v>
      </c>
      <c r="AA39" s="3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3"/>
      <c r="M43" s="3"/>
      <c r="N43" s="3"/>
      <c r="O43" s="3"/>
      <c r="P43" s="3"/>
      <c r="Q43" s="3"/>
      <c r="R43" s="3"/>
      <c r="S43" s="3">
        <f t="shared" ref="S43:S49" si="16">1-((1-(R27/$C$11))^2.67)</f>
        <v>0.71994500613816581</v>
      </c>
      <c r="T43" s="3"/>
      <c r="U43" s="3"/>
      <c r="V43" s="3"/>
      <c r="W43" s="3"/>
      <c r="X43" s="3"/>
      <c r="Y43" s="3"/>
      <c r="Z43" s="3"/>
      <c r="AA43" s="3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3"/>
      <c r="M44" s="3"/>
      <c r="N44" s="3"/>
      <c r="O44" s="3"/>
      <c r="P44" s="3"/>
      <c r="Q44" s="3"/>
      <c r="R44" s="3"/>
      <c r="S44" s="3">
        <f t="shared" si="16"/>
        <v>0.71994500613816581</v>
      </c>
      <c r="T44" s="3"/>
      <c r="U44" s="3"/>
      <c r="V44" s="3"/>
      <c r="W44" s="3"/>
      <c r="X44" s="3"/>
      <c r="Y44" s="3"/>
      <c r="Z44" s="3"/>
      <c r="AA44" s="3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3"/>
      <c r="M45" s="3"/>
      <c r="N45" s="3"/>
      <c r="O45" s="3"/>
      <c r="P45" s="3"/>
      <c r="Q45" s="3"/>
      <c r="R45" s="3"/>
      <c r="S45" s="3">
        <f>1-((1-(R29/$C$11))^2.67)</f>
        <v>0.92711074944772265</v>
      </c>
      <c r="T45" s="3"/>
      <c r="U45" s="3"/>
      <c r="V45" s="3"/>
      <c r="W45" s="3"/>
      <c r="X45" s="3"/>
      <c r="Y45" s="3"/>
      <c r="Z45" s="3"/>
      <c r="AA45" s="3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3"/>
      <c r="M46" s="3"/>
      <c r="N46" s="3"/>
      <c r="O46" s="3"/>
      <c r="P46" s="3"/>
      <c r="Q46" s="3"/>
      <c r="R46" s="3"/>
      <c r="S46" s="3">
        <f t="shared" si="16"/>
        <v>0.62629872490369598</v>
      </c>
      <c r="T46" s="3"/>
      <c r="U46" s="3"/>
      <c r="V46" s="3"/>
      <c r="W46" s="3"/>
      <c r="X46" s="3"/>
      <c r="Y46" s="3"/>
      <c r="Z46" s="3"/>
      <c r="AA46" s="3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3"/>
      <c r="M47" s="3"/>
      <c r="N47" s="3"/>
      <c r="O47" s="3"/>
      <c r="P47" s="3"/>
      <c r="Q47" s="3"/>
      <c r="R47" s="3"/>
      <c r="S47" s="3">
        <f t="shared" si="16"/>
        <v>0.62629872490369598</v>
      </c>
      <c r="T47" s="3"/>
      <c r="U47" s="3"/>
      <c r="V47" s="3"/>
      <c r="W47" s="3"/>
      <c r="X47" s="3"/>
      <c r="Y47" s="3"/>
      <c r="Z47" s="3"/>
      <c r="AA47" s="3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3"/>
      <c r="M48" s="3"/>
      <c r="N48" s="3"/>
      <c r="O48" s="3"/>
      <c r="P48" s="3"/>
      <c r="Q48" s="3"/>
      <c r="R48" s="3"/>
      <c r="S48" s="3">
        <f t="shared" si="16"/>
        <v>0.62629872490369598</v>
      </c>
      <c r="T48" s="3"/>
      <c r="U48" s="3"/>
      <c r="V48" s="3"/>
      <c r="W48" s="3"/>
      <c r="X48" s="3"/>
      <c r="Y48" s="3"/>
      <c r="Z48" s="3"/>
      <c r="AA48" s="3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3"/>
      <c r="M49" s="3"/>
      <c r="N49" s="3"/>
      <c r="O49" s="3"/>
      <c r="P49" s="3"/>
      <c r="Q49" s="3"/>
      <c r="R49" s="3"/>
      <c r="S49" s="3">
        <f t="shared" si="16"/>
        <v>0.62629872490369598</v>
      </c>
      <c r="T49" s="3"/>
      <c r="U49" s="3"/>
      <c r="V49" s="3"/>
      <c r="W49" s="3"/>
      <c r="X49" s="3"/>
      <c r="Y49" s="3"/>
      <c r="Z49" s="3"/>
      <c r="AA49" s="3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3"/>
      <c r="M50" s="3"/>
      <c r="N50" s="3"/>
      <c r="O50" s="3"/>
      <c r="P50" s="3"/>
      <c r="Q50" s="3"/>
      <c r="R50" s="3"/>
      <c r="S50" s="3">
        <f>1-((1-(R34/$C$11))^2.67)</f>
        <v>0.85314381720224886</v>
      </c>
      <c r="T50" s="3"/>
      <c r="U50" s="3"/>
      <c r="V50" s="3"/>
      <c r="W50" s="3"/>
      <c r="X50" s="3"/>
      <c r="Y50" s="3"/>
      <c r="Z50" s="3"/>
      <c r="AA50" s="3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3"/>
      <c r="M51" s="3"/>
      <c r="N51" s="3"/>
      <c r="O51" s="3"/>
      <c r="P51" s="3"/>
      <c r="Q51" s="3"/>
      <c r="R51" s="3"/>
      <c r="S51" s="3">
        <f>1-((1-(R35/$C$11))^2.67)</f>
        <v>0.85314381720224886</v>
      </c>
      <c r="T51" s="3"/>
      <c r="U51" s="3"/>
      <c r="V51" s="3"/>
      <c r="W51" s="3"/>
      <c r="X51" s="3"/>
      <c r="Y51" s="3"/>
      <c r="Z51" s="3"/>
      <c r="AA51" s="3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3"/>
      <c r="M52" s="3"/>
      <c r="N52" s="3"/>
      <c r="O52" s="3"/>
      <c r="P52" s="3"/>
      <c r="Q52" s="3"/>
      <c r="R52" s="3"/>
      <c r="S52" s="3">
        <f>1-((1-(R36/$C$11))^2.67)</f>
        <v>0.62629872490369598</v>
      </c>
      <c r="T52" s="3"/>
      <c r="U52" s="3"/>
      <c r="V52" s="3"/>
      <c r="W52" s="3"/>
      <c r="X52" s="3"/>
      <c r="Y52" s="3"/>
      <c r="Z52" s="3"/>
      <c r="AA52" s="3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3"/>
      <c r="M53" s="3"/>
      <c r="N53" s="3"/>
      <c r="O53" s="3"/>
      <c r="P53" s="3"/>
      <c r="Q53" s="3"/>
      <c r="R53" s="3"/>
      <c r="S53" s="3">
        <f t="shared" ref="S53:S55" si="17">1-((1-(R37/$C$11))^2.67)</f>
        <v>0.62629872490369598</v>
      </c>
      <c r="T53" s="3"/>
      <c r="U53" s="3"/>
      <c r="V53" s="3"/>
      <c r="W53" s="3"/>
      <c r="X53" s="3"/>
      <c r="Y53" s="3"/>
      <c r="Z53" s="3"/>
      <c r="AA53" s="3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3"/>
      <c r="M54" s="3"/>
      <c r="N54" s="3"/>
      <c r="O54" s="3"/>
      <c r="P54" s="3"/>
      <c r="Q54" s="3"/>
      <c r="R54" s="3"/>
      <c r="S54" s="3">
        <f t="shared" si="17"/>
        <v>0.85314381720224886</v>
      </c>
      <c r="T54" s="3"/>
      <c r="U54" s="3"/>
      <c r="V54" s="3"/>
      <c r="W54" s="3"/>
      <c r="X54" s="3"/>
      <c r="Y54" s="3"/>
      <c r="Z54" s="3"/>
      <c r="AA54" s="3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3"/>
      <c r="M55" s="3"/>
      <c r="N55" s="3"/>
      <c r="O55" s="3"/>
      <c r="P55" s="3"/>
      <c r="Q55" s="3"/>
      <c r="R55" s="3"/>
      <c r="S55" s="3">
        <f t="shared" si="17"/>
        <v>0.85314381720224886</v>
      </c>
      <c r="T55" s="3"/>
      <c r="U55" s="3"/>
      <c r="V55" s="3"/>
      <c r="W55" s="3"/>
      <c r="X55" s="3"/>
      <c r="Y55" s="3"/>
      <c r="Z55" s="3"/>
      <c r="AA55" s="3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1:5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5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5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1:5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5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5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5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5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1:5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1:5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1:5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</row>
    <row r="74" spans="1:5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spans="1:5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spans="1:5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spans="1:5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</row>
    <row r="78" spans="1:5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spans="1:5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1:5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spans="1:5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1:5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spans="1:5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1:5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spans="1:5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spans="1:5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1:5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</row>
    <row r="88" spans="1:5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spans="1:5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spans="1:5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spans="1:5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spans="1:5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spans="1:5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spans="1:5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spans="1:5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spans="1:5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spans="1:5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spans="1:5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1:5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1:5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spans="1:5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</row>
    <row r="102" spans="1:5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spans="1:57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</row>
    <row r="104" spans="1:5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</row>
    <row r="105" spans="1:57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</row>
    <row r="106" spans="1:57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</row>
    <row r="107" spans="1:57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</row>
    <row r="108" spans="1:57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</row>
    <row r="109" spans="1:57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</row>
    <row r="110" spans="1:57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</row>
    <row r="111" spans="1:57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</row>
    <row r="112" spans="1:57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spans="1:5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</row>
    <row r="114" spans="1:5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</row>
    <row r="115" spans="1:5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</row>
    <row r="116" spans="1:5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</row>
    <row r="117" spans="1:5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</row>
    <row r="118" spans="1:5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</row>
    <row r="119" spans="1:5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</row>
    <row r="120" spans="1:5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</row>
    <row r="121" spans="1:57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spans="1:57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</row>
    <row r="123" spans="1:57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</row>
    <row r="124" spans="1:57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</row>
    <row r="125" spans="1:57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</row>
    <row r="126" spans="1:57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spans="1:57" x14ac:dyDescent="0.25"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57" x14ac:dyDescent="0.25">
      <c r="S128" s="3"/>
    </row>
    <row r="129" spans="19:19" x14ac:dyDescent="0.25">
      <c r="S129" s="3"/>
    </row>
    <row r="130" spans="19:19" x14ac:dyDescent="0.25">
      <c r="S130" s="3"/>
    </row>
    <row r="131" spans="19:19" x14ac:dyDescent="0.25">
      <c r="S131" s="3"/>
    </row>
    <row r="132" spans="19:19" x14ac:dyDescent="0.25">
      <c r="S132" s="3"/>
    </row>
    <row r="133" spans="19:19" x14ac:dyDescent="0.25">
      <c r="S133" s="3"/>
    </row>
    <row r="134" spans="19:19" x14ac:dyDescent="0.25">
      <c r="S134" s="3"/>
    </row>
  </sheetData>
  <sheetProtection algorithmName="SHA-512" hashValue="vN/vwAOASjOWg4esbYjWZvIMurPhcVpR75+/+Li77x8pQawu5UUVhWOnLq/PjDsoa/XRK/3TOWBBYJBD3ajP7A==" saltValue="Vt07kYeVy838ALCuSFT0EQ==" spinCount="100000" sheet="1" objects="1" scenarios="1"/>
  <mergeCells count="7">
    <mergeCell ref="B1:F2"/>
    <mergeCell ref="A3:F4"/>
    <mergeCell ref="A26:F28"/>
    <mergeCell ref="B7:D7"/>
    <mergeCell ref="B9:B10"/>
    <mergeCell ref="C9:C10"/>
    <mergeCell ref="B19:D19"/>
  </mergeCells>
  <dataValidations disablePrompts="1" count="2">
    <dataValidation type="list" allowBlank="1" showInputMessage="1" showErrorMessage="1" sqref="C8" xr:uid="{9BAD60FA-33E3-4684-ACB5-049CC56D3B8C}">
      <formula1>$P$5:$P$11</formula1>
    </dataValidation>
    <dataValidation type="list" allowBlank="1" showInputMessage="1" showErrorMessage="1" sqref="C20" xr:uid="{1C765643-5748-47B4-B36B-83160DBB8C1D}">
      <formula1>$P$27:$P$39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D81747CFAE054985C16A7DDDD6836F" ma:contentTypeVersion="13" ma:contentTypeDescription="Create a new document." ma:contentTypeScope="" ma:versionID="5f621bddabfb496f4f6c1507c3cf347c">
  <xsd:schema xmlns:xsd="http://www.w3.org/2001/XMLSchema" xmlns:xs="http://www.w3.org/2001/XMLSchema" xmlns:p="http://schemas.microsoft.com/office/2006/metadata/properties" xmlns:ns3="e53fb0e4-933a-4f49-b3a0-64b0291ef46d" xmlns:ns4="7c7befd9-a8c8-498d-b9c1-414af2adafe9" targetNamespace="http://schemas.microsoft.com/office/2006/metadata/properties" ma:root="true" ma:fieldsID="813c6ce65c3bd49082507da3c61f73e2" ns3:_="" ns4:_="">
    <xsd:import namespace="e53fb0e4-933a-4f49-b3a0-64b0291ef46d"/>
    <xsd:import namespace="7c7befd9-a8c8-498d-b9c1-414af2adaf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fb0e4-933a-4f49-b3a0-64b0291ef4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befd9-a8c8-498d-b9c1-414af2ada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DE9CC7-C547-41C2-8CF2-E7FDED775C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92F00-2A6D-4BEA-9D57-895C2072717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c7befd9-a8c8-498d-b9c1-414af2adafe9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e53fb0e4-933a-4f49-b3a0-64b0291ef46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38C821-7955-4DD7-89C7-DB26759E2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3fb0e4-933a-4f49-b3a0-64b0291ef46d"/>
    <ds:schemaRef ds:uri="7c7befd9-a8c8-498d-b9c1-414af2ada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COMPOSITE CROSS SECTION</vt:lpstr>
      <vt:lpstr>UNIFORM CROSS SECTION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Noah Hanley</cp:lastModifiedBy>
  <dcterms:created xsi:type="dcterms:W3CDTF">2020-06-26T14:17:50Z</dcterms:created>
  <dcterms:modified xsi:type="dcterms:W3CDTF">2021-02-01T16:08:42Z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0x0101000ED81747CFAE054985C16A7DDDD6836F</vt:lpwstr>
  </property>
</Properties>
</file>